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hidePivotFieldList="1" defaultThemeVersion="202300"/>
  <mc:AlternateContent xmlns:mc="http://schemas.openxmlformats.org/markup-compatibility/2006">
    <mc:Choice Requires="x15">
      <x15ac:absPath xmlns:x15ac="http://schemas.microsoft.com/office/spreadsheetml/2010/11/ac" url="/Users/marcdiaz/Downloads/"/>
    </mc:Choice>
  </mc:AlternateContent>
  <xr:revisionPtr revIDLastSave="0" documentId="13_ncr:1_{39E0173A-106F-5045-A3C6-DD36F97BE862}" xr6:coauthVersionLast="47" xr6:coauthVersionMax="47" xr10:uidLastSave="{00000000-0000-0000-0000-000000000000}"/>
  <bookViews>
    <workbookView xWindow="0" yWindow="660" windowWidth="29220" windowHeight="1898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5" hidden="1">'Case-Specific'!$A$1:$G$86</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fullCalcOnLoad="1"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9" l="1"/>
  <c r="E23" i="9"/>
  <c r="E22" i="9"/>
  <c r="E21" i="9"/>
  <c r="E33" i="9"/>
  <c r="E31" i="14"/>
  <c r="E28" i="14"/>
  <c r="E36" i="14"/>
  <c r="E37" i="14"/>
  <c r="E23" i="4"/>
  <c r="E51" i="9"/>
  <c r="E36" i="9"/>
  <c r="E30" i="8"/>
  <c r="E63" i="14"/>
  <c r="E47" i="8"/>
  <c r="E24" i="4"/>
  <c r="E87" i="14"/>
  <c r="E86" i="14"/>
  <c r="E85" i="14"/>
  <c r="E84" i="14"/>
  <c r="E83" i="14"/>
  <c r="E82" i="14"/>
  <c r="E81" i="14"/>
  <c r="E80" i="14"/>
  <c r="E79" i="14"/>
  <c r="E78" i="14"/>
  <c r="E77" i="14"/>
  <c r="E76" i="14"/>
  <c r="E72" i="14"/>
  <c r="E61" i="14"/>
  <c r="E40" i="14"/>
  <c r="E39" i="14"/>
  <c r="E35" i="14"/>
  <c r="E67" i="8"/>
  <c r="E46" i="8"/>
  <c r="E45" i="8"/>
  <c r="E44" i="8"/>
  <c r="E38" i="8"/>
  <c r="E37" i="8"/>
  <c r="E33" i="8"/>
  <c r="E32" i="8"/>
  <c r="E31" i="8"/>
  <c r="E88" i="14"/>
  <c r="E75" i="14"/>
  <c r="E74" i="14"/>
  <c r="E71" i="14"/>
  <c r="E70" i="14"/>
  <c r="E69" i="14"/>
  <c r="E68" i="14"/>
  <c r="E66" i="14"/>
  <c r="E65" i="14"/>
  <c r="E64" i="14"/>
  <c r="E62" i="14"/>
  <c r="E60" i="14"/>
  <c r="E59" i="14"/>
  <c r="E58" i="14"/>
  <c r="E57" i="14"/>
  <c r="E56" i="14"/>
  <c r="E55" i="14"/>
  <c r="E54" i="14"/>
  <c r="E52" i="14"/>
  <c r="E51" i="14"/>
  <c r="E50" i="14"/>
  <c r="E49" i="14"/>
  <c r="E48" i="14"/>
  <c r="E47" i="14"/>
  <c r="E46" i="14"/>
  <c r="E45" i="14"/>
  <c r="E43" i="14"/>
  <c r="E42" i="14"/>
  <c r="E33" i="14"/>
  <c r="E32" i="14"/>
  <c r="E30" i="14"/>
  <c r="E27" i="14"/>
  <c r="E26" i="14"/>
  <c r="E25" i="14"/>
  <c r="E24" i="14"/>
  <c r="E50" i="10"/>
  <c r="E49" i="10"/>
  <c r="E48" i="10"/>
  <c r="E47" i="10"/>
  <c r="E46" i="10"/>
  <c r="E45" i="10"/>
  <c r="E44" i="10"/>
  <c r="E43" i="10"/>
  <c r="E42" i="10"/>
  <c r="E41" i="10"/>
  <c r="E40" i="10"/>
  <c r="E39" i="10"/>
  <c r="E38" i="10"/>
  <c r="E37" i="10"/>
  <c r="E36" i="10"/>
  <c r="E66" i="8"/>
  <c r="E65" i="8"/>
  <c r="E64" i="8"/>
  <c r="E63" i="8"/>
  <c r="E62" i="8"/>
  <c r="E61" i="8"/>
  <c r="E60" i="8"/>
  <c r="E59" i="8"/>
  <c r="E58" i="8"/>
  <c r="E57" i="8"/>
  <c r="E56" i="8"/>
  <c r="E55" i="8"/>
  <c r="E54" i="8"/>
  <c r="E53" i="8"/>
  <c r="E51" i="8"/>
  <c r="E50" i="8"/>
  <c r="E49" i="8"/>
  <c r="E48" i="8"/>
  <c r="E43" i="8"/>
  <c r="E42" i="8"/>
  <c r="E41" i="8"/>
  <c r="E40" i="8"/>
  <c r="E39" i="8"/>
  <c r="E36" i="8"/>
  <c r="E34" i="8"/>
  <c r="E28" i="8"/>
  <c r="E27" i="8"/>
  <c r="E26" i="8"/>
  <c r="E25" i="8"/>
  <c r="E24" i="8"/>
  <c r="E23" i="8"/>
  <c r="E22" i="8"/>
  <c r="E36" i="4"/>
  <c r="E35" i="4"/>
  <c r="E34" i="4"/>
  <c r="E33" i="4"/>
  <c r="E32" i="4"/>
  <c r="E31" i="4"/>
  <c r="E30" i="4"/>
  <c r="E29" i="4"/>
  <c r="E27" i="4"/>
  <c r="E26" i="4"/>
  <c r="E25" i="4"/>
  <c r="K2" i="21" l="1"/>
  <c r="C13" i="8" l="1"/>
  <c r="C14" i="8"/>
  <c r="C15" i="8"/>
  <c r="C16" i="8"/>
  <c r="C17" i="8"/>
  <c r="C18" i="8"/>
  <c r="C19" i="8"/>
  <c r="C20" i="8"/>
  <c r="C17" i="16" l="1"/>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74" i="16" l="1"/>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A366" i="16"/>
  <c r="D365" i="16"/>
  <c r="C365" i="16"/>
  <c r="B365" i="16"/>
  <c r="D364" i="16"/>
  <c r="C364" i="16"/>
  <c r="B364" i="16"/>
  <c r="D363" i="16"/>
  <c r="C363" i="16"/>
  <c r="B363" i="16"/>
  <c r="D362" i="16"/>
  <c r="C362" i="16"/>
  <c r="B362" i="16"/>
  <c r="D361" i="16"/>
  <c r="C361" i="16"/>
  <c r="B361" i="16"/>
  <c r="D360" i="16"/>
  <c r="C360" i="16"/>
  <c r="B360" i="16"/>
  <c r="D359" i="16"/>
  <c r="C359" i="16"/>
  <c r="B359" i="16"/>
  <c r="D358" i="16"/>
  <c r="C358" i="16"/>
  <c r="B358" i="16"/>
  <c r="D357" i="16"/>
  <c r="C357" i="16"/>
  <c r="B357" i="16"/>
  <c r="D356" i="16"/>
  <c r="C356" i="16"/>
  <c r="B356" i="16"/>
  <c r="D355" i="16"/>
  <c r="C355" i="16"/>
  <c r="B355" i="16"/>
  <c r="D354" i="16"/>
  <c r="C354" i="16"/>
  <c r="B354" i="16"/>
  <c r="D353" i="16"/>
  <c r="C353" i="16"/>
  <c r="B353" i="16"/>
  <c r="D352" i="16"/>
  <c r="C352" i="16"/>
  <c r="B352" i="16"/>
  <c r="D351" i="16"/>
  <c r="C351" i="16"/>
  <c r="B351" i="16"/>
  <c r="D350" i="16"/>
  <c r="C350" i="16"/>
  <c r="A350" i="16"/>
  <c r="D349" i="16"/>
  <c r="C349" i="16"/>
  <c r="B349" i="16"/>
  <c r="D348" i="16"/>
  <c r="C348" i="16"/>
  <c r="B348" i="16"/>
  <c r="D347" i="16"/>
  <c r="C347" i="16"/>
  <c r="B347" i="16"/>
  <c r="D346" i="16"/>
  <c r="C346" i="16"/>
  <c r="B346" i="16"/>
  <c r="D345" i="16"/>
  <c r="C345" i="16"/>
  <c r="B345" i="16"/>
  <c r="D344" i="16"/>
  <c r="C344" i="16"/>
  <c r="A344" i="16"/>
  <c r="D343" i="16"/>
  <c r="C343" i="16"/>
  <c r="B343" i="16"/>
  <c r="D342" i="16"/>
  <c r="C342" i="16"/>
  <c r="B342" i="16"/>
  <c r="D341" i="16"/>
  <c r="C341" i="16"/>
  <c r="B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B332" i="16"/>
  <c r="D331" i="16"/>
  <c r="C331" i="16"/>
  <c r="B331" i="16"/>
  <c r="D330" i="16"/>
  <c r="C330" i="16"/>
  <c r="A330" i="16"/>
  <c r="D329" i="16"/>
  <c r="C329" i="16"/>
  <c r="B329" i="16"/>
  <c r="D328" i="16"/>
  <c r="C328" i="16"/>
  <c r="B328" i="16"/>
  <c r="D327" i="16"/>
  <c r="C327" i="16"/>
  <c r="B327" i="16"/>
  <c r="D326" i="16"/>
  <c r="C326" i="16"/>
  <c r="B326" i="16"/>
  <c r="D325" i="16"/>
  <c r="C325" i="16"/>
  <c r="B325" i="16"/>
  <c r="D324" i="16"/>
  <c r="C324" i="16"/>
  <c r="B324" i="16"/>
  <c r="D323" i="16"/>
  <c r="C323" i="16"/>
  <c r="B323" i="16"/>
  <c r="D322" i="16"/>
  <c r="C322" i="16"/>
  <c r="B322" i="16"/>
  <c r="D321" i="16"/>
  <c r="C321" i="16"/>
  <c r="A321" i="16"/>
  <c r="D320" i="16"/>
  <c r="C320" i="16"/>
  <c r="B320" i="16"/>
  <c r="D319" i="16"/>
  <c r="C319" i="16"/>
  <c r="B319" i="16"/>
  <c r="D318" i="16"/>
  <c r="C318" i="16"/>
  <c r="A318" i="16"/>
  <c r="D317" i="16"/>
  <c r="C317" i="16"/>
  <c r="B317" i="16"/>
  <c r="D316" i="16"/>
  <c r="C316" i="16"/>
  <c r="B316" i="16"/>
  <c r="D315" i="16"/>
  <c r="C315" i="16"/>
  <c r="A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A306" i="16"/>
  <c r="D305" i="16"/>
  <c r="C305" i="16"/>
  <c r="B305" i="16"/>
  <c r="D304" i="16"/>
  <c r="C304" i="16"/>
  <c r="B304" i="16"/>
  <c r="D303" i="16"/>
  <c r="C303" i="16"/>
  <c r="B303" i="16"/>
  <c r="D302" i="16"/>
  <c r="C302" i="16"/>
  <c r="B302" i="16"/>
  <c r="D301" i="16"/>
  <c r="C301" i="16"/>
  <c r="B301" i="16"/>
  <c r="D300" i="16"/>
  <c r="C300" i="16"/>
  <c r="A300" i="16"/>
  <c r="D297" i="16"/>
  <c r="C297" i="16"/>
  <c r="B297" i="16"/>
  <c r="D296" i="16"/>
  <c r="C296" i="16"/>
  <c r="B296" i="16"/>
  <c r="D295" i="16"/>
  <c r="C295" i="16"/>
  <c r="B295" i="16"/>
  <c r="D294" i="16"/>
  <c r="C294" i="16"/>
  <c r="B294" i="16"/>
  <c r="D293" i="16"/>
  <c r="C293" i="16"/>
  <c r="B293" i="16"/>
  <c r="D292" i="16"/>
  <c r="C292" i="16"/>
  <c r="B292" i="16"/>
  <c r="D291" i="16"/>
  <c r="C291" i="16"/>
  <c r="A291" i="16"/>
  <c r="D290" i="16"/>
  <c r="C290" i="16"/>
  <c r="B290" i="16"/>
  <c r="D289" i="16"/>
  <c r="C289" i="16"/>
  <c r="B289" i="16"/>
  <c r="D288" i="16"/>
  <c r="C288" i="16"/>
  <c r="B288" i="16"/>
  <c r="D287" i="16"/>
  <c r="C287" i="16"/>
  <c r="B287" i="16"/>
  <c r="D286" i="16"/>
  <c r="C286" i="16"/>
  <c r="B286" i="16"/>
  <c r="D285" i="16"/>
  <c r="C285" i="16"/>
  <c r="B285" i="16"/>
  <c r="D284" i="16"/>
  <c r="C284" i="16"/>
  <c r="B284" i="16"/>
  <c r="D283" i="16"/>
  <c r="C283" i="16"/>
  <c r="B283" i="16"/>
  <c r="D282" i="16"/>
  <c r="C282" i="16"/>
  <c r="A282" i="16"/>
  <c r="D281" i="16"/>
  <c r="C281" i="16"/>
  <c r="B281" i="16"/>
  <c r="D280" i="16"/>
  <c r="C280" i="16"/>
  <c r="B280" i="16"/>
  <c r="D279" i="16"/>
  <c r="C279" i="16"/>
  <c r="B279" i="16"/>
  <c r="D278" i="16"/>
  <c r="C278" i="16"/>
  <c r="B278" i="16"/>
  <c r="D277" i="16"/>
  <c r="C277" i="16"/>
  <c r="B277" i="16"/>
  <c r="D276" i="16"/>
  <c r="C276" i="16"/>
  <c r="A276" i="16"/>
  <c r="D275" i="16"/>
  <c r="C275" i="16"/>
  <c r="B275" i="16"/>
  <c r="D274" i="16"/>
  <c r="C274" i="16"/>
  <c r="B274" i="16"/>
  <c r="D273" i="16"/>
  <c r="C273" i="16"/>
  <c r="B273" i="16"/>
  <c r="D272" i="16"/>
  <c r="C272" i="16"/>
  <c r="B272" i="16"/>
  <c r="D271" i="16"/>
  <c r="C271" i="16"/>
  <c r="B271" i="16"/>
  <c r="D270" i="16"/>
  <c r="C270" i="16"/>
  <c r="A270" i="16"/>
  <c r="D269" i="16"/>
  <c r="C269" i="16"/>
  <c r="B269" i="16"/>
  <c r="D268" i="16"/>
  <c r="C268" i="16"/>
  <c r="B268" i="16"/>
  <c r="D267" i="16"/>
  <c r="C267" i="16"/>
  <c r="B267" i="16"/>
  <c r="D266" i="16"/>
  <c r="C266" i="16"/>
  <c r="B266" i="16"/>
  <c r="D265" i="16"/>
  <c r="C265" i="16"/>
  <c r="B265" i="16"/>
  <c r="D264" i="16"/>
  <c r="C264" i="16"/>
  <c r="A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A250" i="16"/>
  <c r="D249" i="16"/>
  <c r="C249" i="16"/>
  <c r="B249" i="16"/>
  <c r="D248" i="16"/>
  <c r="C248" i="16"/>
  <c r="B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A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B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B208" i="16"/>
  <c r="D207" i="16"/>
  <c r="C207" i="16"/>
  <c r="A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A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B189" i="16"/>
  <c r="D188" i="16"/>
  <c r="C188" i="16"/>
  <c r="B188" i="16"/>
  <c r="D187" i="16"/>
  <c r="C187" i="16"/>
  <c r="B187" i="16"/>
  <c r="D186" i="16"/>
  <c r="C186" i="16"/>
  <c r="B186" i="16"/>
  <c r="D185" i="16"/>
  <c r="C185" i="16"/>
  <c r="B185" i="16"/>
  <c r="D184" i="16"/>
  <c r="C184" i="16"/>
  <c r="B184" i="16"/>
  <c r="D183" i="16"/>
  <c r="C183" i="16"/>
  <c r="B183" i="16"/>
  <c r="D182" i="16"/>
  <c r="C182" i="16"/>
  <c r="B182" i="16"/>
  <c r="D181" i="16"/>
  <c r="C181" i="16"/>
  <c r="B181" i="16"/>
  <c r="D180" i="16"/>
  <c r="C180" i="16"/>
  <c r="B180" i="16"/>
  <c r="D179" i="16"/>
  <c r="C179" i="16"/>
  <c r="B179" i="16"/>
  <c r="D178" i="16"/>
  <c r="C178" i="16"/>
  <c r="A178" i="16"/>
  <c r="D177" i="16"/>
  <c r="C177" i="16"/>
  <c r="B177" i="16"/>
  <c r="D176" i="16"/>
  <c r="C176" i="16"/>
  <c r="B176" i="16"/>
  <c r="D175" i="16"/>
  <c r="C175" i="16"/>
  <c r="B175" i="16"/>
  <c r="D174" i="16"/>
  <c r="C174" i="16"/>
  <c r="B174" i="16"/>
  <c r="D173" i="16"/>
  <c r="C173" i="16"/>
  <c r="B173" i="16"/>
  <c r="D172" i="16"/>
  <c r="C172" i="16"/>
  <c r="B172" i="16"/>
  <c r="D171" i="16"/>
  <c r="C171" i="16"/>
  <c r="A171" i="16"/>
  <c r="D170" i="16"/>
  <c r="C170" i="16"/>
  <c r="B170" i="16"/>
  <c r="D169" i="16"/>
  <c r="C169" i="16"/>
  <c r="B169" i="16"/>
  <c r="D168" i="16"/>
  <c r="C168" i="16"/>
  <c r="B168" i="16"/>
  <c r="D167" i="16"/>
  <c r="C167" i="16"/>
  <c r="B167" i="16"/>
  <c r="D166" i="16"/>
  <c r="C166" i="16"/>
  <c r="A166" i="16"/>
  <c r="D165" i="16"/>
  <c r="C165" i="16"/>
  <c r="B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A154" i="16"/>
  <c r="D153" i="16"/>
  <c r="C153" i="16"/>
  <c r="B153" i="16"/>
  <c r="D152" i="16"/>
  <c r="C152" i="16"/>
  <c r="B152" i="16"/>
  <c r="D151" i="16"/>
  <c r="C151" i="16"/>
  <c r="B151" i="16"/>
  <c r="D150" i="16"/>
  <c r="C150" i="16"/>
  <c r="B150" i="16"/>
  <c r="D149" i="16"/>
  <c r="C149" i="16"/>
  <c r="B149" i="16"/>
  <c r="D148" i="16"/>
  <c r="C148" i="16"/>
  <c r="B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A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A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B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A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B29" i="4"/>
  <c r="A32" i="3"/>
  <c r="A71" i="8" l="1"/>
  <c r="D299" i="16"/>
  <c r="C299" i="16"/>
  <c r="D298" i="16"/>
  <c r="C298"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B91" i="14"/>
  <c r="A10" i="22"/>
  <c r="A23" i="16"/>
  <c r="I2" i="25" l="1"/>
  <c r="I2" i="22"/>
  <c r="F2" i="14"/>
  <c r="F2" i="13"/>
  <c r="F2" i="12"/>
  <c r="F2" i="11"/>
  <c r="F2" i="10"/>
  <c r="F2" i="9"/>
  <c r="F2" i="8"/>
  <c r="F2" i="4"/>
  <c r="A10" i="25" l="1"/>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A96" i="25" l="1"/>
  <c r="C3" i="8" l="1"/>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A78" i="22"/>
  <c r="A24" i="20"/>
  <c r="B22" i="14"/>
  <c r="B36" i="4"/>
  <c r="B35" i="4"/>
  <c r="I78" i="22" l="1"/>
  <c r="G78" i="22"/>
  <c r="I79" i="22"/>
  <c r="G79" i="22"/>
  <c r="D24" i="20"/>
  <c r="C24" i="20"/>
  <c r="B24" i="20"/>
  <c r="E24" i="20"/>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G30" i="25" s="1"/>
  <c r="B29" i="25"/>
  <c r="G29" i="25" s="1"/>
  <c r="B28" i="25"/>
  <c r="G28" i="25" s="1"/>
  <c r="B27" i="25"/>
  <c r="G27" i="25" s="1"/>
  <c r="B26" i="25"/>
  <c r="G26" i="25" s="1"/>
  <c r="B25" i="25"/>
  <c r="G25" i="25" s="1"/>
  <c r="B24" i="25"/>
  <c r="G24" i="25" s="1"/>
  <c r="B23" i="25"/>
  <c r="G23" i="25" s="1"/>
  <c r="B22" i="25"/>
  <c r="G22" i="25" s="1"/>
  <c r="B21" i="25"/>
  <c r="G21" i="25" s="1"/>
  <c r="F91" i="14" l="1"/>
  <c r="F80" i="14"/>
  <c r="F69" i="14"/>
  <c r="F58" i="14"/>
  <c r="F47" i="14"/>
  <c r="F33" i="14"/>
  <c r="F90" i="14"/>
  <c r="F79" i="14"/>
  <c r="F68" i="14"/>
  <c r="F57" i="14"/>
  <c r="F46" i="14"/>
  <c r="F32" i="14"/>
  <c r="F88" i="14"/>
  <c r="F78" i="14"/>
  <c r="F66" i="14"/>
  <c r="F56" i="14"/>
  <c r="F45" i="14"/>
  <c r="F31" i="14"/>
  <c r="F87" i="14"/>
  <c r="F77" i="14"/>
  <c r="F65" i="14"/>
  <c r="F55" i="14"/>
  <c r="F43" i="14"/>
  <c r="F30" i="14"/>
  <c r="F97" i="14"/>
  <c r="F86" i="14"/>
  <c r="F76" i="14"/>
  <c r="F64" i="14"/>
  <c r="F54" i="14"/>
  <c r="F42" i="14"/>
  <c r="F28" i="14"/>
  <c r="F96" i="14"/>
  <c r="F85" i="14"/>
  <c r="F75" i="14"/>
  <c r="F63" i="14"/>
  <c r="F52" i="14"/>
  <c r="F40" i="14"/>
  <c r="F27" i="14"/>
  <c r="F95" i="14"/>
  <c r="F84" i="14"/>
  <c r="F74" i="14"/>
  <c r="F62" i="14"/>
  <c r="F51" i="14"/>
  <c r="F39" i="14"/>
  <c r="F26" i="14"/>
  <c r="F94" i="14"/>
  <c r="F83" i="14"/>
  <c r="F72" i="14"/>
  <c r="F61" i="14"/>
  <c r="F50" i="14"/>
  <c r="F37" i="14"/>
  <c r="F25" i="14"/>
  <c r="F93" i="14"/>
  <c r="F82" i="14"/>
  <c r="F71" i="14"/>
  <c r="F60" i="14"/>
  <c r="F49" i="14"/>
  <c r="F36" i="14"/>
  <c r="F24" i="14"/>
  <c r="F92" i="14"/>
  <c r="F81" i="14"/>
  <c r="F70" i="14"/>
  <c r="F59" i="14"/>
  <c r="F48" i="14"/>
  <c r="F35" i="14"/>
  <c r="O24" i="20"/>
  <c r="L24" i="20"/>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A227" i="22"/>
  <c r="A228" i="22"/>
  <c r="A229" i="22"/>
  <c r="A230" i="22"/>
  <c r="A231" i="22"/>
  <c r="A232" i="22"/>
  <c r="A233" i="22"/>
  <c r="A234" i="22"/>
  <c r="A235" i="22"/>
  <c r="A236" i="22"/>
  <c r="A237" i="22"/>
  <c r="A238" i="22"/>
  <c r="A239" i="22"/>
  <c r="A240" i="22"/>
  <c r="A241" i="22"/>
  <c r="A242" i="22"/>
  <c r="A243" i="22"/>
  <c r="A244" i="22"/>
  <c r="A310" i="22"/>
  <c r="A311" i="22"/>
  <c r="A313" i="22"/>
  <c r="A314" i="22"/>
  <c r="A315" i="22"/>
  <c r="A316" i="22"/>
  <c r="A317" i="22"/>
  <c r="A319" i="22"/>
  <c r="A320" i="22"/>
  <c r="A321" i="22"/>
  <c r="A322" i="22"/>
  <c r="A323" i="22"/>
  <c r="A325" i="22"/>
  <c r="A326" i="22"/>
  <c r="A327" i="22"/>
  <c r="A328" i="22"/>
  <c r="A329" i="22"/>
  <c r="A331" i="22"/>
  <c r="A332" i="22"/>
  <c r="A333" i="22"/>
  <c r="A334" i="22"/>
  <c r="A335" i="22"/>
  <c r="A336" i="22"/>
  <c r="A337" i="22"/>
  <c r="A338" i="22"/>
  <c r="A340" i="22"/>
  <c r="A341" i="22"/>
  <c r="A342" i="22"/>
  <c r="A343" i="22"/>
  <c r="A344" i="22"/>
  <c r="A345" i="22"/>
  <c r="A246" i="22"/>
  <c r="A247" i="22"/>
  <c r="A248" i="22"/>
  <c r="A249" i="22"/>
  <c r="A250" i="22"/>
  <c r="A251" i="22"/>
  <c r="A252" i="22"/>
  <c r="A253" i="22"/>
  <c r="A254"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6" i="22"/>
  <c r="A287" i="22"/>
  <c r="A288" i="22"/>
  <c r="A289" i="22"/>
  <c r="A290" i="22"/>
  <c r="A291" i="22"/>
  <c r="A292" i="22"/>
  <c r="A293" i="22"/>
  <c r="A294" i="22"/>
  <c r="A295" i="22"/>
  <c r="A296" i="22"/>
  <c r="A297" i="22"/>
  <c r="A299" i="22"/>
  <c r="A298" i="22" s="1"/>
  <c r="A300" i="22"/>
  <c r="A301" i="22"/>
  <c r="A302" i="22"/>
  <c r="A303" i="22"/>
  <c r="A304" i="22"/>
  <c r="A305" i="22"/>
  <c r="A306" i="22"/>
  <c r="A307" i="22"/>
  <c r="A308" i="22"/>
  <c r="A171" i="22"/>
  <c r="A172" i="22"/>
  <c r="A173" i="22"/>
  <c r="A174" i="22"/>
  <c r="A175" i="22"/>
  <c r="A176" i="22"/>
  <c r="A177" i="22"/>
  <c r="A178" i="22"/>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A204" i="22"/>
  <c r="A205" i="22"/>
  <c r="A206" i="22"/>
  <c r="A207" i="22"/>
  <c r="A208" i="22"/>
  <c r="A209" i="22"/>
  <c r="A210" i="22"/>
  <c r="A211" i="22"/>
  <c r="A212" i="22"/>
  <c r="A213" i="22"/>
  <c r="A215" i="22"/>
  <c r="A216" i="22"/>
  <c r="A217" i="22"/>
  <c r="A218" i="22"/>
  <c r="A220" i="22"/>
  <c r="A221" i="22"/>
  <c r="A222" i="22"/>
  <c r="A223" i="22"/>
  <c r="A224" i="22"/>
  <c r="A225" i="22"/>
  <c r="A128" i="22"/>
  <c r="A129" i="22"/>
  <c r="A130" i="22"/>
  <c r="A131" i="22"/>
  <c r="A132" i="22"/>
  <c r="A133" i="22"/>
  <c r="A134" i="22"/>
  <c r="A135" i="22"/>
  <c r="A136" i="22"/>
  <c r="A137" i="22"/>
  <c r="A138" i="22"/>
  <c r="A139" i="22"/>
  <c r="A140" i="22"/>
  <c r="A141" i="22"/>
  <c r="A142" i="22"/>
  <c r="A143" i="22"/>
  <c r="A144" i="22"/>
  <c r="A145"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26" i="22"/>
  <c r="A125" i="22"/>
  <c r="A124" i="22"/>
  <c r="A123" i="22"/>
  <c r="A122" i="22"/>
  <c r="A121" i="22"/>
  <c r="A120" i="22"/>
  <c r="A119" i="22"/>
  <c r="A118" i="22"/>
  <c r="A117" i="22"/>
  <c r="A116" i="22"/>
  <c r="A115" i="22"/>
  <c r="A114" i="22"/>
  <c r="A113" i="22"/>
  <c r="A112" i="22"/>
  <c r="A110" i="22"/>
  <c r="A109" i="22"/>
  <c r="A108" i="22"/>
  <c r="A107" i="22"/>
  <c r="A106" i="22"/>
  <c r="A105" i="22"/>
  <c r="A104" i="22"/>
  <c r="A103" i="22"/>
  <c r="A102" i="22"/>
  <c r="A101" i="22"/>
  <c r="A100" i="22"/>
  <c r="A99" i="22"/>
  <c r="A98" i="22"/>
  <c r="A97" i="22"/>
  <c r="A96" i="22"/>
  <c r="A95" i="22"/>
  <c r="A93" i="22"/>
  <c r="A92" i="22"/>
  <c r="A91" i="22"/>
  <c r="A90" i="22"/>
  <c r="A89" i="22"/>
  <c r="A87" i="22"/>
  <c r="A86" i="22"/>
  <c r="A85" i="22"/>
  <c r="A84" i="22"/>
  <c r="A83" i="22"/>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A67" i="22"/>
  <c r="A68" i="22"/>
  <c r="A69" i="22"/>
  <c r="A70" i="22"/>
  <c r="A72" i="22"/>
  <c r="A73" i="22"/>
  <c r="A74" i="22"/>
  <c r="A75" i="22"/>
  <c r="A76" i="22"/>
  <c r="A77" i="22"/>
  <c r="G39" i="22"/>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M238" i="20" s="1"/>
  <c r="A239" i="20"/>
  <c r="M239" i="20" s="1"/>
  <c r="A240" i="20"/>
  <c r="M240" i="20" s="1"/>
  <c r="A241" i="20"/>
  <c r="M241" i="20" s="1"/>
  <c r="A242" i="20"/>
  <c r="M242" i="20" s="1"/>
  <c r="A243" i="20"/>
  <c r="M243" i="20" s="1"/>
  <c r="A244" i="20"/>
  <c r="M244" i="20" s="1"/>
  <c r="A245" i="20"/>
  <c r="M245" i="20" s="1"/>
  <c r="A246" i="20"/>
  <c r="M246" i="20" s="1"/>
  <c r="A247" i="20"/>
  <c r="M247" i="20" s="1"/>
  <c r="A248" i="20"/>
  <c r="M248" i="20" s="1"/>
  <c r="A249" i="20"/>
  <c r="M249" i="20" s="1"/>
  <c r="A250" i="20"/>
  <c r="M250" i="20" s="1"/>
  <c r="A251" i="20"/>
  <c r="M251" i="20" s="1"/>
  <c r="A252" i="20"/>
  <c r="M252" i="20" s="1"/>
  <c r="A253" i="20"/>
  <c r="M253" i="20" s="1"/>
  <c r="A254" i="20"/>
  <c r="M254" i="20" s="1"/>
  <c r="A255" i="20"/>
  <c r="M255" i="20" s="1"/>
  <c r="A256" i="20"/>
  <c r="M256" i="20" s="1"/>
  <c r="A257" i="20"/>
  <c r="M257" i="20" s="1"/>
  <c r="A258" i="20"/>
  <c r="M258" i="20" s="1"/>
  <c r="A259" i="20"/>
  <c r="M259" i="20" s="1"/>
  <c r="A260" i="20"/>
  <c r="M260" i="20" s="1"/>
  <c r="A261" i="20"/>
  <c r="M261" i="20" s="1"/>
  <c r="A262" i="20"/>
  <c r="M262" i="20" s="1"/>
  <c r="A263" i="20"/>
  <c r="M263" i="20" s="1"/>
  <c r="A264" i="20"/>
  <c r="M264" i="20" s="1"/>
  <c r="A265" i="20"/>
  <c r="M265" i="20" s="1"/>
  <c r="A266" i="20"/>
  <c r="M266" i="20" s="1"/>
  <c r="A267" i="20"/>
  <c r="M267" i="20" s="1"/>
  <c r="A268" i="20"/>
  <c r="M268" i="20" s="1"/>
  <c r="A269" i="20"/>
  <c r="M269" i="20" s="1"/>
  <c r="A270" i="20"/>
  <c r="M270" i="20" s="1"/>
  <c r="A271" i="20"/>
  <c r="M271" i="20" s="1"/>
  <c r="A272" i="20"/>
  <c r="M272" i="20" s="1"/>
  <c r="A273" i="20"/>
  <c r="M273" i="20" s="1"/>
  <c r="A274" i="20"/>
  <c r="M274" i="20" s="1"/>
  <c r="A275" i="20"/>
  <c r="M275" i="20" s="1"/>
  <c r="A276" i="20"/>
  <c r="M276" i="20" s="1"/>
  <c r="A277" i="20"/>
  <c r="M277" i="20" s="1"/>
  <c r="A278" i="20"/>
  <c r="M278" i="20" s="1"/>
  <c r="A279" i="20"/>
  <c r="M279" i="20" s="1"/>
  <c r="A280" i="20"/>
  <c r="M280" i="20" s="1"/>
  <c r="A281" i="20"/>
  <c r="M281" i="20" s="1"/>
  <c r="A282" i="20"/>
  <c r="M282" i="20" s="1"/>
  <c r="A283" i="20"/>
  <c r="M283" i="20" s="1"/>
  <c r="A284" i="20"/>
  <c r="M284" i="20" s="1"/>
  <c r="A285" i="20"/>
  <c r="M285" i="20" s="1"/>
  <c r="A286" i="20"/>
  <c r="M286" i="20" s="1"/>
  <c r="A287" i="20"/>
  <c r="M287" i="20" s="1"/>
  <c r="A288" i="20"/>
  <c r="M288" i="20" s="1"/>
  <c r="A289" i="20"/>
  <c r="M289" i="20" s="1"/>
  <c r="A290" i="20"/>
  <c r="M290" i="20" s="1"/>
  <c r="A291" i="20"/>
  <c r="M291" i="20" s="1"/>
  <c r="A292" i="20"/>
  <c r="M292" i="20" s="1"/>
  <c r="A293" i="20"/>
  <c r="M293" i="20" s="1"/>
  <c r="A294" i="20"/>
  <c r="M294" i="20" s="1"/>
  <c r="A295" i="20"/>
  <c r="M295" i="20" s="1"/>
  <c r="A296" i="20"/>
  <c r="M296" i="20" s="1"/>
  <c r="A297" i="20"/>
  <c r="M297" i="20" s="1"/>
  <c r="A298" i="20"/>
  <c r="M298" i="20" s="1"/>
  <c r="A299" i="20"/>
  <c r="M299" i="20" s="1"/>
  <c r="A300" i="20"/>
  <c r="M300" i="20" s="1"/>
  <c r="A301" i="20"/>
  <c r="M301" i="20" s="1"/>
  <c r="A302" i="20"/>
  <c r="M302" i="20" s="1"/>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D78" i="22" l="1"/>
  <c r="E78" i="22"/>
  <c r="E79" i="22"/>
  <c r="D79" i="22"/>
  <c r="P24" i="20"/>
  <c r="M11" i="20"/>
  <c r="Q11" i="20" s="1"/>
  <c r="M10" i="20"/>
  <c r="Q10" i="20" s="1"/>
  <c r="M9" i="20"/>
  <c r="Q9" i="20" s="1"/>
  <c r="M8" i="20"/>
  <c r="Q8" i="20" s="1"/>
  <c r="I308" i="22"/>
  <c r="G308" i="22"/>
  <c r="G130" i="22"/>
  <c r="I130" i="22"/>
  <c r="I137" i="22"/>
  <c r="G137" i="22"/>
  <c r="G247" i="22"/>
  <c r="I247" i="22"/>
  <c r="D58" i="22"/>
  <c r="E58" i="22"/>
  <c r="I58" i="22"/>
  <c r="I5" i="20" s="1"/>
  <c r="K5" i="20" s="1"/>
  <c r="G58" i="22"/>
  <c r="G5" i="20" s="1"/>
  <c r="I230" i="22"/>
  <c r="G230" i="22"/>
  <c r="G183" i="22"/>
  <c r="I183" i="22"/>
  <c r="A127" i="22"/>
  <c r="I128" i="22"/>
  <c r="G128" i="22"/>
  <c r="I288" i="22"/>
  <c r="G288" i="22"/>
  <c r="I287" i="22"/>
  <c r="G287" i="22"/>
  <c r="I280" i="22"/>
  <c r="G280" i="22"/>
  <c r="I150" i="22"/>
  <c r="G150" i="22"/>
  <c r="G205" i="22"/>
  <c r="I205" i="22"/>
  <c r="I301" i="22"/>
  <c r="G301" i="22"/>
  <c r="G279" i="22"/>
  <c r="I279" i="22"/>
  <c r="I229" i="22"/>
  <c r="G229" i="22"/>
  <c r="I149" i="22"/>
  <c r="G149" i="22"/>
  <c r="I182" i="22"/>
  <c r="G182" i="22"/>
  <c r="G300" i="22"/>
  <c r="I300" i="22"/>
  <c r="I278" i="22"/>
  <c r="G278" i="22"/>
  <c r="I258" i="22"/>
  <c r="G258" i="22"/>
  <c r="G77" i="22"/>
  <c r="I77" i="22"/>
  <c r="I168" i="22"/>
  <c r="G168" i="22"/>
  <c r="I148" i="22"/>
  <c r="G148" i="22"/>
  <c r="I225" i="22"/>
  <c r="G225" i="22"/>
  <c r="G203" i="22"/>
  <c r="I203" i="22"/>
  <c r="I181" i="22"/>
  <c r="G181" i="22"/>
  <c r="I299" i="22"/>
  <c r="G299" i="22"/>
  <c r="I277" i="22"/>
  <c r="G277" i="22"/>
  <c r="I257" i="22"/>
  <c r="G257" i="22"/>
  <c r="A226" i="22"/>
  <c r="G227" i="22"/>
  <c r="I227" i="22"/>
  <c r="I76" i="22"/>
  <c r="G76" i="22"/>
  <c r="I167" i="22"/>
  <c r="G167" i="22"/>
  <c r="I147" i="22"/>
  <c r="G147" i="22"/>
  <c r="I224" i="22"/>
  <c r="G224" i="22"/>
  <c r="I201" i="22"/>
  <c r="G201" i="22"/>
  <c r="E201" i="22"/>
  <c r="D201" i="22"/>
  <c r="I180" i="22"/>
  <c r="G180" i="22"/>
  <c r="I297" i="22"/>
  <c r="G297" i="22"/>
  <c r="I276" i="22"/>
  <c r="G276" i="22"/>
  <c r="I256" i="22"/>
  <c r="G256" i="22"/>
  <c r="G67" i="22"/>
  <c r="I67" i="22"/>
  <c r="G213" i="22"/>
  <c r="I213" i="22"/>
  <c r="A245" i="22"/>
  <c r="I246" i="22"/>
  <c r="G246" i="22"/>
  <c r="I260" i="22"/>
  <c r="G260" i="22"/>
  <c r="D57" i="22"/>
  <c r="I57" i="22"/>
  <c r="I4" i="20" s="1"/>
  <c r="K4" i="20" s="1"/>
  <c r="G57" i="22"/>
  <c r="G4" i="20" s="1"/>
  <c r="E57" i="22"/>
  <c r="I204" i="22"/>
  <c r="G204" i="22"/>
  <c r="G228" i="22"/>
  <c r="I228" i="22"/>
  <c r="I75" i="22"/>
  <c r="G75" i="22"/>
  <c r="G166" i="22"/>
  <c r="I166" i="22"/>
  <c r="G145" i="22"/>
  <c r="I145" i="22"/>
  <c r="I223" i="22"/>
  <c r="G223" i="22"/>
  <c r="I200" i="22"/>
  <c r="G200" i="22"/>
  <c r="E200" i="22"/>
  <c r="D200" i="22"/>
  <c r="I179" i="22"/>
  <c r="G179" i="22"/>
  <c r="I296" i="22"/>
  <c r="G296" i="22"/>
  <c r="I275" i="22"/>
  <c r="G275" i="22"/>
  <c r="I254" i="22"/>
  <c r="G254" i="22"/>
  <c r="A214" i="22"/>
  <c r="I215" i="22"/>
  <c r="G215" i="22"/>
  <c r="I157" i="22"/>
  <c r="G157" i="22"/>
  <c r="I151" i="22"/>
  <c r="G151" i="22"/>
  <c r="I206" i="22"/>
  <c r="G206" i="22"/>
  <c r="G302" i="22"/>
  <c r="I302" i="22"/>
  <c r="I129" i="22"/>
  <c r="G129" i="22"/>
  <c r="G259" i="22"/>
  <c r="I259" i="22"/>
  <c r="D56" i="22"/>
  <c r="E56" i="22"/>
  <c r="I56" i="22"/>
  <c r="I3" i="20" s="1"/>
  <c r="K3" i="20" s="1"/>
  <c r="G56" i="22"/>
  <c r="G3" i="20" s="1"/>
  <c r="I169" i="22"/>
  <c r="G169" i="22"/>
  <c r="G74" i="22"/>
  <c r="I74" i="22"/>
  <c r="G165" i="22"/>
  <c r="I165" i="22"/>
  <c r="G144" i="22"/>
  <c r="I144" i="22"/>
  <c r="I222" i="22"/>
  <c r="G222" i="22"/>
  <c r="I199" i="22"/>
  <c r="G199" i="22"/>
  <c r="E199" i="22"/>
  <c r="D199" i="22"/>
  <c r="I178" i="22"/>
  <c r="G178" i="22"/>
  <c r="G295" i="22"/>
  <c r="I295" i="22"/>
  <c r="I274" i="22"/>
  <c r="G274" i="22"/>
  <c r="I253" i="22"/>
  <c r="G253" i="22"/>
  <c r="I244" i="22"/>
  <c r="G244" i="22"/>
  <c r="I243" i="22"/>
  <c r="G243" i="22"/>
  <c r="G267" i="22"/>
  <c r="I267" i="22"/>
  <c r="A170" i="22"/>
  <c r="G171" i="22"/>
  <c r="I171" i="22"/>
  <c r="I136" i="22"/>
  <c r="G136" i="22"/>
  <c r="I184" i="22"/>
  <c r="G184" i="22"/>
  <c r="G294" i="22"/>
  <c r="I294" i="22"/>
  <c r="G70" i="22"/>
  <c r="G162" i="22"/>
  <c r="I162" i="22"/>
  <c r="G141" i="22"/>
  <c r="I141" i="22"/>
  <c r="I175" i="22"/>
  <c r="G175" i="22"/>
  <c r="I292" i="22"/>
  <c r="G292" i="22"/>
  <c r="I271" i="22"/>
  <c r="G271" i="22"/>
  <c r="I250" i="22"/>
  <c r="G250" i="22"/>
  <c r="G241" i="22"/>
  <c r="I241" i="22"/>
  <c r="D64" i="22"/>
  <c r="E64" i="22"/>
  <c r="G64" i="22"/>
  <c r="G11" i="20" s="1"/>
  <c r="I64" i="22"/>
  <c r="I11" i="20" s="1"/>
  <c r="K11" i="20" s="1"/>
  <c r="I266" i="22"/>
  <c r="G266" i="22"/>
  <c r="D63" i="22"/>
  <c r="E63" i="22"/>
  <c r="I63" i="22"/>
  <c r="I10" i="20" s="1"/>
  <c r="K10" i="20" s="1"/>
  <c r="G63" i="22"/>
  <c r="G10" i="20" s="1"/>
  <c r="G73" i="22"/>
  <c r="I73" i="22"/>
  <c r="I143" i="22"/>
  <c r="G143" i="22"/>
  <c r="G198" i="22"/>
  <c r="I198" i="22"/>
  <c r="E198" i="22"/>
  <c r="D198" i="22"/>
  <c r="G177" i="22"/>
  <c r="I177" i="22"/>
  <c r="G273" i="22"/>
  <c r="I273" i="22"/>
  <c r="G252" i="22"/>
  <c r="I252" i="22"/>
  <c r="I72" i="22"/>
  <c r="G72" i="22"/>
  <c r="G142" i="22"/>
  <c r="I142" i="22"/>
  <c r="G220" i="22"/>
  <c r="I220" i="22"/>
  <c r="I197" i="22"/>
  <c r="G197" i="22"/>
  <c r="E197" i="22"/>
  <c r="D197" i="22"/>
  <c r="I293" i="22"/>
  <c r="G293" i="22"/>
  <c r="I218" i="22"/>
  <c r="G218" i="22"/>
  <c r="M3" i="20"/>
  <c r="Q3" i="20" s="1"/>
  <c r="I69" i="22"/>
  <c r="G69" i="22"/>
  <c r="G161" i="22"/>
  <c r="I161" i="22"/>
  <c r="I140" i="22"/>
  <c r="G140" i="22"/>
  <c r="I217" i="22"/>
  <c r="G217" i="22"/>
  <c r="I195" i="22"/>
  <c r="G195" i="22"/>
  <c r="E195" i="22"/>
  <c r="D195" i="22"/>
  <c r="I174" i="22"/>
  <c r="G174" i="22"/>
  <c r="G291" i="22"/>
  <c r="I291" i="22"/>
  <c r="I270" i="22"/>
  <c r="G270" i="22"/>
  <c r="I249" i="22"/>
  <c r="G249" i="22"/>
  <c r="I240" i="22"/>
  <c r="G240" i="22"/>
  <c r="I158" i="22"/>
  <c r="G158" i="22"/>
  <c r="I212" i="22"/>
  <c r="G212" i="22"/>
  <c r="I164" i="22"/>
  <c r="G164" i="22"/>
  <c r="G221" i="22"/>
  <c r="I221" i="22"/>
  <c r="I163" i="22"/>
  <c r="G163" i="22"/>
  <c r="G176" i="22"/>
  <c r="I176" i="22"/>
  <c r="G272" i="22"/>
  <c r="I272" i="22"/>
  <c r="G251" i="22"/>
  <c r="I251" i="22"/>
  <c r="G242" i="22"/>
  <c r="I242" i="22"/>
  <c r="I196" i="22"/>
  <c r="G196" i="22"/>
  <c r="E196" i="22"/>
  <c r="D196" i="22"/>
  <c r="I68" i="22"/>
  <c r="G68" i="22"/>
  <c r="I160" i="22"/>
  <c r="G160" i="22"/>
  <c r="I139" i="22"/>
  <c r="G139" i="22"/>
  <c r="G216" i="22"/>
  <c r="I216" i="22"/>
  <c r="G194" i="22"/>
  <c r="I194" i="22"/>
  <c r="E194" i="22"/>
  <c r="D194" i="22"/>
  <c r="G173" i="22"/>
  <c r="I173" i="22"/>
  <c r="G290" i="22"/>
  <c r="I290" i="22"/>
  <c r="G269" i="22"/>
  <c r="I269" i="22"/>
  <c r="I239" i="22"/>
  <c r="G239" i="22"/>
  <c r="G193" i="22"/>
  <c r="I193" i="22"/>
  <c r="E193" i="22"/>
  <c r="D193" i="22"/>
  <c r="I172" i="22"/>
  <c r="G172" i="22"/>
  <c r="I289" i="22"/>
  <c r="G289" i="22"/>
  <c r="G268" i="22"/>
  <c r="I268" i="22"/>
  <c r="I248" i="22"/>
  <c r="G248" i="22"/>
  <c r="G238" i="22"/>
  <c r="I238" i="22"/>
  <c r="G192" i="22"/>
  <c r="I192" i="22"/>
  <c r="E192" i="22"/>
  <c r="D192" i="22"/>
  <c r="G237" i="22"/>
  <c r="I237" i="22"/>
  <c r="I138" i="22"/>
  <c r="G138" i="22"/>
  <c r="G236" i="22"/>
  <c r="I236" i="22"/>
  <c r="G156" i="22"/>
  <c r="I156" i="22"/>
  <c r="I211" i="22"/>
  <c r="G211" i="22"/>
  <c r="I190" i="22"/>
  <c r="G190" i="22"/>
  <c r="E190" i="22"/>
  <c r="D190" i="22"/>
  <c r="I307" i="22"/>
  <c r="G307" i="22"/>
  <c r="G286" i="22"/>
  <c r="I286" i="22"/>
  <c r="I265" i="22"/>
  <c r="G265" i="22"/>
  <c r="I235" i="22"/>
  <c r="G235" i="22"/>
  <c r="I159" i="22"/>
  <c r="G159" i="22"/>
  <c r="I210" i="22"/>
  <c r="G210" i="22"/>
  <c r="D62" i="22"/>
  <c r="I62" i="22"/>
  <c r="I9" i="20" s="1"/>
  <c r="K9" i="20" s="1"/>
  <c r="G62" i="22"/>
  <c r="G9" i="20" s="1"/>
  <c r="E62" i="22"/>
  <c r="I154" i="22"/>
  <c r="G154" i="22"/>
  <c r="I133" i="22"/>
  <c r="G133" i="22"/>
  <c r="G209" i="22"/>
  <c r="I209" i="22"/>
  <c r="G188" i="22"/>
  <c r="I188" i="22"/>
  <c r="E188" i="22"/>
  <c r="D188" i="22"/>
  <c r="G305" i="22"/>
  <c r="I305" i="22"/>
  <c r="I283" i="22"/>
  <c r="G283" i="22"/>
  <c r="G263" i="22"/>
  <c r="I263" i="22"/>
  <c r="I233" i="22"/>
  <c r="G233" i="22"/>
  <c r="I191" i="22"/>
  <c r="G191" i="22"/>
  <c r="E191" i="22"/>
  <c r="D191" i="22"/>
  <c r="G135" i="22"/>
  <c r="I135" i="22"/>
  <c r="M7" i="20"/>
  <c r="Q7" i="20" s="1"/>
  <c r="D60" i="22"/>
  <c r="I60" i="22"/>
  <c r="I7" i="20" s="1"/>
  <c r="K7" i="20" s="1"/>
  <c r="E60" i="22"/>
  <c r="G60" i="22"/>
  <c r="G7" i="20" s="1"/>
  <c r="G232" i="22"/>
  <c r="I232" i="22"/>
  <c r="G66" i="22"/>
  <c r="I66" i="22"/>
  <c r="I155" i="22"/>
  <c r="G155" i="22"/>
  <c r="I134" i="22"/>
  <c r="G134" i="22"/>
  <c r="I189" i="22"/>
  <c r="G189" i="22"/>
  <c r="E189" i="22"/>
  <c r="D189" i="22"/>
  <c r="G306" i="22"/>
  <c r="I306" i="22"/>
  <c r="I284" i="22"/>
  <c r="G284" i="22"/>
  <c r="I264" i="22"/>
  <c r="G264" i="22"/>
  <c r="I234" i="22"/>
  <c r="G234" i="22"/>
  <c r="M6" i="20"/>
  <c r="Q6" i="20" s="1"/>
  <c r="D61" i="22"/>
  <c r="E61" i="22"/>
  <c r="I61" i="22"/>
  <c r="I8" i="20" s="1"/>
  <c r="K8" i="20" s="1"/>
  <c r="G61" i="22"/>
  <c r="G8" i="20" s="1"/>
  <c r="M5" i="20"/>
  <c r="Q5" i="20" s="1"/>
  <c r="I153" i="22"/>
  <c r="G153" i="22"/>
  <c r="I132" i="22"/>
  <c r="G132" i="22"/>
  <c r="G208" i="22"/>
  <c r="I208" i="22"/>
  <c r="G187" i="22"/>
  <c r="I187" i="22"/>
  <c r="E187" i="22"/>
  <c r="D187" i="22"/>
  <c r="I304" i="22"/>
  <c r="G304" i="22"/>
  <c r="I282" i="22"/>
  <c r="G282" i="22"/>
  <c r="G262" i="22"/>
  <c r="I262" i="22"/>
  <c r="M4" i="20"/>
  <c r="Q4" i="20" s="1"/>
  <c r="D59" i="22"/>
  <c r="G59" i="22"/>
  <c r="G6" i="20" s="1"/>
  <c r="I59" i="22"/>
  <c r="I6" i="20" s="1"/>
  <c r="K6" i="20" s="1"/>
  <c r="E59" i="22"/>
  <c r="G152" i="22"/>
  <c r="I152" i="22"/>
  <c r="G131" i="22"/>
  <c r="I131" i="22"/>
  <c r="I207" i="22"/>
  <c r="G207" i="22"/>
  <c r="I186" i="22"/>
  <c r="G186" i="22"/>
  <c r="E186" i="22"/>
  <c r="D186" i="22"/>
  <c r="I303" i="22"/>
  <c r="G303" i="22"/>
  <c r="I281" i="22"/>
  <c r="G281" i="22"/>
  <c r="I261" i="22"/>
  <c r="G261" i="22"/>
  <c r="G231" i="22"/>
  <c r="I231" i="22"/>
  <c r="D110" i="25"/>
  <c r="D58" i="25"/>
  <c r="D101" i="25"/>
  <c r="D109" i="25"/>
  <c r="D106" i="25"/>
  <c r="D99" i="25"/>
  <c r="D102" i="25"/>
  <c r="D84" i="25"/>
  <c r="D108" i="25"/>
  <c r="D103" i="25"/>
  <c r="D95" i="25"/>
  <c r="D104" i="25"/>
  <c r="D100" i="25"/>
  <c r="D105" i="25"/>
  <c r="D107" i="25"/>
  <c r="I81" i="22"/>
  <c r="G81" i="22"/>
  <c r="E81" i="22"/>
  <c r="D81" i="22"/>
  <c r="I103" i="22"/>
  <c r="G103" i="22"/>
  <c r="I124" i="22"/>
  <c r="G124" i="22"/>
  <c r="I83" i="22"/>
  <c r="G83" i="22"/>
  <c r="I84" i="22"/>
  <c r="G84" i="22"/>
  <c r="I106" i="22"/>
  <c r="G106" i="22"/>
  <c r="G85" i="22"/>
  <c r="I85" i="22"/>
  <c r="G107" i="22"/>
  <c r="I107" i="22"/>
  <c r="I86" i="22"/>
  <c r="G86" i="22"/>
  <c r="I108" i="22"/>
  <c r="G108" i="22"/>
  <c r="I87" i="22"/>
  <c r="G87" i="22"/>
  <c r="I109" i="22"/>
  <c r="G109" i="22"/>
  <c r="I89" i="22"/>
  <c r="G89" i="22"/>
  <c r="I110" i="22"/>
  <c r="G110" i="22"/>
  <c r="G90" i="22"/>
  <c r="I90" i="22"/>
  <c r="G112" i="22"/>
  <c r="I112" i="22"/>
  <c r="D126" i="22"/>
  <c r="I126" i="22"/>
  <c r="G126" i="22"/>
  <c r="I91" i="22"/>
  <c r="G91" i="22"/>
  <c r="I113" i="22"/>
  <c r="G113" i="22"/>
  <c r="I105" i="22"/>
  <c r="G105" i="22"/>
  <c r="I92" i="22"/>
  <c r="G92" i="22"/>
  <c r="I114" i="22"/>
  <c r="G114" i="22"/>
  <c r="I82" i="22"/>
  <c r="G82" i="22"/>
  <c r="I93" i="22"/>
  <c r="G93" i="22"/>
  <c r="I115" i="22"/>
  <c r="G115" i="22"/>
  <c r="I95" i="22"/>
  <c r="G95" i="22"/>
  <c r="I116" i="22"/>
  <c r="G116" i="22"/>
  <c r="D96" i="22"/>
  <c r="I96" i="22"/>
  <c r="G96" i="22"/>
  <c r="I117" i="22"/>
  <c r="G117" i="22"/>
  <c r="G97" i="22"/>
  <c r="D97" i="22"/>
  <c r="I97" i="22"/>
  <c r="I118" i="22"/>
  <c r="G118" i="22"/>
  <c r="I98" i="22"/>
  <c r="G98" i="22"/>
  <c r="I119" i="22"/>
  <c r="G119" i="22"/>
  <c r="I99" i="22"/>
  <c r="G99" i="22"/>
  <c r="I120" i="22"/>
  <c r="G120" i="22"/>
  <c r="I125" i="22"/>
  <c r="G125" i="22"/>
  <c r="I100" i="22"/>
  <c r="G100" i="22"/>
  <c r="I121" i="22"/>
  <c r="G121" i="22"/>
  <c r="G101" i="22"/>
  <c r="I101" i="22"/>
  <c r="I122" i="22"/>
  <c r="G122" i="22"/>
  <c r="I104" i="22"/>
  <c r="G104" i="22"/>
  <c r="I102" i="22"/>
  <c r="G102" i="22"/>
  <c r="I123" i="22"/>
  <c r="G123" i="22"/>
  <c r="E75" i="25"/>
  <c r="D75" i="25"/>
  <c r="I341" i="22"/>
  <c r="G341" i="22"/>
  <c r="I317" i="22"/>
  <c r="G317" i="22"/>
  <c r="I340" i="22"/>
  <c r="G340" i="22"/>
  <c r="I316" i="22"/>
  <c r="G316" i="22"/>
  <c r="I315" i="22"/>
  <c r="G315" i="22"/>
  <c r="I319" i="22"/>
  <c r="G319" i="22"/>
  <c r="I338" i="22"/>
  <c r="G338" i="22"/>
  <c r="I337" i="22"/>
  <c r="G337" i="22"/>
  <c r="I314" i="22"/>
  <c r="G314" i="22"/>
  <c r="I336" i="22"/>
  <c r="G336" i="22"/>
  <c r="A312" i="22"/>
  <c r="I313" i="22"/>
  <c r="G313" i="22"/>
  <c r="I335" i="22"/>
  <c r="G335" i="22"/>
  <c r="I311" i="22"/>
  <c r="G311" i="22"/>
  <c r="I334" i="22"/>
  <c r="G334" i="22"/>
  <c r="A309" i="22"/>
  <c r="I310" i="22"/>
  <c r="G310" i="22"/>
  <c r="I333" i="22"/>
  <c r="G333" i="22"/>
  <c r="I332" i="22"/>
  <c r="G332" i="22"/>
  <c r="A330" i="22"/>
  <c r="I331" i="22"/>
  <c r="G331" i="22"/>
  <c r="I329" i="22"/>
  <c r="G329" i="22"/>
  <c r="I328" i="22"/>
  <c r="G328" i="22"/>
  <c r="I327" i="22"/>
  <c r="G327" i="22"/>
  <c r="I326" i="22"/>
  <c r="G326" i="22"/>
  <c r="I323" i="22"/>
  <c r="G323" i="22"/>
  <c r="I345" i="22"/>
  <c r="G345" i="22"/>
  <c r="I322" i="22"/>
  <c r="G322" i="22"/>
  <c r="I325" i="22"/>
  <c r="G325" i="22"/>
  <c r="I344" i="22"/>
  <c r="G344" i="22"/>
  <c r="I321" i="22"/>
  <c r="G321" i="22"/>
  <c r="I343" i="22"/>
  <c r="G343" i="22"/>
  <c r="I320" i="22"/>
  <c r="G320" i="22"/>
  <c r="I342" i="22"/>
  <c r="G342" i="22"/>
  <c r="H3" i="20"/>
  <c r="J3" i="20"/>
  <c r="J302" i="20"/>
  <c r="I302" i="20"/>
  <c r="K302" i="20" s="1"/>
  <c r="H302" i="20"/>
  <c r="G302" i="20"/>
  <c r="J278" i="20"/>
  <c r="I278" i="20"/>
  <c r="K278" i="20" s="1"/>
  <c r="H278" i="20"/>
  <c r="G278" i="20"/>
  <c r="J254" i="20"/>
  <c r="I254" i="20"/>
  <c r="K254" i="20" s="1"/>
  <c r="H254" i="20"/>
  <c r="G254" i="20"/>
  <c r="H293" i="20"/>
  <c r="G293" i="20"/>
  <c r="J293" i="20"/>
  <c r="I293" i="20"/>
  <c r="K293" i="20" s="1"/>
  <c r="H261" i="20"/>
  <c r="G261" i="20"/>
  <c r="J261" i="20"/>
  <c r="I261" i="20"/>
  <c r="K261" i="20" s="1"/>
  <c r="J292" i="20"/>
  <c r="I292" i="20"/>
  <c r="K292" i="20" s="1"/>
  <c r="H292" i="20"/>
  <c r="G292" i="20"/>
  <c r="J276" i="20"/>
  <c r="I276" i="20"/>
  <c r="K276" i="20" s="1"/>
  <c r="H276" i="20"/>
  <c r="G276" i="20"/>
  <c r="J260" i="20"/>
  <c r="I260" i="20"/>
  <c r="K260" i="20" s="1"/>
  <c r="H260" i="20"/>
  <c r="G260" i="20"/>
  <c r="J244" i="20"/>
  <c r="I244" i="20"/>
  <c r="K244" i="20" s="1"/>
  <c r="H244" i="20"/>
  <c r="G244" i="20"/>
  <c r="H11" i="20"/>
  <c r="J11" i="20"/>
  <c r="J286" i="20"/>
  <c r="I286" i="20"/>
  <c r="K286" i="20" s="1"/>
  <c r="H286" i="20"/>
  <c r="G286" i="20"/>
  <c r="J246" i="20"/>
  <c r="I246" i="20"/>
  <c r="K246" i="20" s="1"/>
  <c r="H246" i="20"/>
  <c r="G246" i="20"/>
  <c r="H301" i="20"/>
  <c r="J301" i="20"/>
  <c r="I301" i="20"/>
  <c r="K301" i="20" s="1"/>
  <c r="G301" i="20"/>
  <c r="H277" i="20"/>
  <c r="J277" i="20"/>
  <c r="I277" i="20"/>
  <c r="K277" i="20" s="1"/>
  <c r="G277" i="20"/>
  <c r="J300" i="20"/>
  <c r="I300" i="20"/>
  <c r="K300" i="20" s="1"/>
  <c r="H300" i="20"/>
  <c r="G300" i="20"/>
  <c r="J284" i="20"/>
  <c r="I284" i="20"/>
  <c r="K284" i="20" s="1"/>
  <c r="H284" i="20"/>
  <c r="G284" i="20"/>
  <c r="J268" i="20"/>
  <c r="I268" i="20"/>
  <c r="K268" i="20" s="1"/>
  <c r="H268" i="20"/>
  <c r="G268" i="20"/>
  <c r="J252" i="20"/>
  <c r="I252" i="20"/>
  <c r="K252" i="20" s="1"/>
  <c r="H252" i="20"/>
  <c r="G252" i="20"/>
  <c r="H299" i="20"/>
  <c r="J299" i="20"/>
  <c r="I299" i="20"/>
  <c r="K299" i="20" s="1"/>
  <c r="G299" i="20"/>
  <c r="H291" i="20"/>
  <c r="I291" i="20"/>
  <c r="K291" i="20" s="1"/>
  <c r="G291" i="20"/>
  <c r="J291" i="20"/>
  <c r="H283" i="20"/>
  <c r="J283" i="20"/>
  <c r="I283" i="20"/>
  <c r="K283" i="20" s="1"/>
  <c r="G283" i="20"/>
  <c r="H275" i="20"/>
  <c r="I275" i="20"/>
  <c r="K275" i="20" s="1"/>
  <c r="G275" i="20"/>
  <c r="J275" i="20"/>
  <c r="H267" i="20"/>
  <c r="J267" i="20"/>
  <c r="I267" i="20"/>
  <c r="K267" i="20" s="1"/>
  <c r="G267" i="20"/>
  <c r="H259" i="20"/>
  <c r="I259" i="20"/>
  <c r="K259" i="20" s="1"/>
  <c r="G259" i="20"/>
  <c r="J259" i="20"/>
  <c r="H251" i="20"/>
  <c r="J251" i="20"/>
  <c r="I251" i="20"/>
  <c r="K251" i="20" s="1"/>
  <c r="G251" i="20"/>
  <c r="H243" i="20"/>
  <c r="I243" i="20"/>
  <c r="K243" i="20" s="1"/>
  <c r="G243" i="20"/>
  <c r="J243" i="20"/>
  <c r="H10" i="20"/>
  <c r="J10" i="20"/>
  <c r="J294" i="20"/>
  <c r="I294" i="20"/>
  <c r="K294" i="20" s="1"/>
  <c r="H294" i="20"/>
  <c r="G294" i="20"/>
  <c r="J262" i="20"/>
  <c r="I262" i="20"/>
  <c r="K262" i="20" s="1"/>
  <c r="H262" i="20"/>
  <c r="G262" i="20"/>
  <c r="J238" i="20"/>
  <c r="I238" i="20"/>
  <c r="K238" i="20" s="1"/>
  <c r="H238" i="20"/>
  <c r="G238" i="20"/>
  <c r="H5" i="20"/>
  <c r="J5" i="20"/>
  <c r="H285" i="20"/>
  <c r="J285" i="20"/>
  <c r="I285" i="20"/>
  <c r="K285" i="20" s="1"/>
  <c r="G285" i="20"/>
  <c r="H269" i="20"/>
  <c r="J269" i="20"/>
  <c r="I269" i="20"/>
  <c r="K269" i="20" s="1"/>
  <c r="G269" i="20"/>
  <c r="H245" i="20"/>
  <c r="J245" i="20"/>
  <c r="I245" i="20"/>
  <c r="K245" i="20" s="1"/>
  <c r="G245" i="20"/>
  <c r="J298" i="20"/>
  <c r="I298" i="20"/>
  <c r="K298" i="20" s="1"/>
  <c r="H298" i="20"/>
  <c r="G298" i="20"/>
  <c r="J282" i="20"/>
  <c r="I282" i="20"/>
  <c r="K282" i="20" s="1"/>
  <c r="H282" i="20"/>
  <c r="G282" i="20"/>
  <c r="J274" i="20"/>
  <c r="I274" i="20"/>
  <c r="K274" i="20" s="1"/>
  <c r="H274" i="20"/>
  <c r="G274" i="20"/>
  <c r="J266" i="20"/>
  <c r="I266" i="20"/>
  <c r="K266" i="20" s="1"/>
  <c r="H266" i="20"/>
  <c r="G266" i="20"/>
  <c r="J258" i="20"/>
  <c r="I258" i="20"/>
  <c r="K258" i="20" s="1"/>
  <c r="H258" i="20"/>
  <c r="G258" i="20"/>
  <c r="J250" i="20"/>
  <c r="I250" i="20"/>
  <c r="K250" i="20" s="1"/>
  <c r="H250" i="20"/>
  <c r="G250" i="20"/>
  <c r="J242" i="20"/>
  <c r="I242" i="20"/>
  <c r="K242" i="20" s="1"/>
  <c r="H242" i="20"/>
  <c r="G242" i="20"/>
  <c r="J9" i="20"/>
  <c r="H9" i="20"/>
  <c r="H289" i="20"/>
  <c r="J289" i="20"/>
  <c r="I289" i="20"/>
  <c r="K289" i="20" s="1"/>
  <c r="G289" i="20"/>
  <c r="H281" i="20"/>
  <c r="G281" i="20"/>
  <c r="J281" i="20"/>
  <c r="I281" i="20"/>
  <c r="K281" i="20" s="1"/>
  <c r="H265" i="20"/>
  <c r="G265" i="20"/>
  <c r="J265" i="20"/>
  <c r="I265" i="20"/>
  <c r="K265" i="20" s="1"/>
  <c r="H249" i="20"/>
  <c r="G249" i="20"/>
  <c r="J249" i="20"/>
  <c r="I249" i="20"/>
  <c r="K249" i="20" s="1"/>
  <c r="H8" i="20"/>
  <c r="J8" i="20"/>
  <c r="J296" i="20"/>
  <c r="I296" i="20"/>
  <c r="K296" i="20" s="1"/>
  <c r="H296" i="20"/>
  <c r="G296" i="20"/>
  <c r="J288" i="20"/>
  <c r="I288" i="20"/>
  <c r="K288" i="20" s="1"/>
  <c r="H288" i="20"/>
  <c r="G288" i="20"/>
  <c r="J280" i="20"/>
  <c r="I280" i="20"/>
  <c r="K280" i="20" s="1"/>
  <c r="H280" i="20"/>
  <c r="G280" i="20"/>
  <c r="J272" i="20"/>
  <c r="I272" i="20"/>
  <c r="K272" i="20" s="1"/>
  <c r="H272" i="20"/>
  <c r="G272" i="20"/>
  <c r="J264" i="20"/>
  <c r="I264" i="20"/>
  <c r="K264" i="20" s="1"/>
  <c r="H264" i="20"/>
  <c r="G264" i="20"/>
  <c r="J256" i="20"/>
  <c r="I256" i="20"/>
  <c r="K256" i="20" s="1"/>
  <c r="H256" i="20"/>
  <c r="G256" i="20"/>
  <c r="J248" i="20"/>
  <c r="I248" i="20"/>
  <c r="K248" i="20" s="1"/>
  <c r="H248" i="20"/>
  <c r="G248" i="20"/>
  <c r="J240" i="20"/>
  <c r="I240" i="20"/>
  <c r="K240" i="20" s="1"/>
  <c r="H240" i="20"/>
  <c r="G240" i="20"/>
  <c r="H7" i="20"/>
  <c r="J7" i="20"/>
  <c r="J270" i="20"/>
  <c r="I270" i="20"/>
  <c r="K270" i="20" s="1"/>
  <c r="H270" i="20"/>
  <c r="G270" i="20"/>
  <c r="H253" i="20"/>
  <c r="J253" i="20"/>
  <c r="I253" i="20"/>
  <c r="K253" i="20" s="1"/>
  <c r="G253" i="20"/>
  <c r="H4" i="20"/>
  <c r="J4" i="20"/>
  <c r="J290" i="20"/>
  <c r="I290" i="20"/>
  <c r="K290" i="20" s="1"/>
  <c r="H290" i="20"/>
  <c r="G290" i="20"/>
  <c r="H297" i="20"/>
  <c r="G297" i="20"/>
  <c r="J297" i="20"/>
  <c r="I297" i="20"/>
  <c r="K297" i="20" s="1"/>
  <c r="H273" i="20"/>
  <c r="J273" i="20"/>
  <c r="I273" i="20"/>
  <c r="K273" i="20" s="1"/>
  <c r="G273" i="20"/>
  <c r="H257" i="20"/>
  <c r="J257" i="20"/>
  <c r="I257" i="20"/>
  <c r="K257" i="20" s="1"/>
  <c r="G257" i="20"/>
  <c r="H241" i="20"/>
  <c r="J241" i="20"/>
  <c r="I241" i="20"/>
  <c r="K241" i="20" s="1"/>
  <c r="G241" i="20"/>
  <c r="H295" i="20"/>
  <c r="J295" i="20"/>
  <c r="I295" i="20"/>
  <c r="K295" i="20" s="1"/>
  <c r="G295" i="20"/>
  <c r="H287" i="20"/>
  <c r="J287" i="20"/>
  <c r="I287" i="20"/>
  <c r="K287" i="20" s="1"/>
  <c r="G287" i="20"/>
  <c r="H279" i="20"/>
  <c r="J279" i="20"/>
  <c r="I279" i="20"/>
  <c r="K279" i="20" s="1"/>
  <c r="G279" i="20"/>
  <c r="H271" i="20"/>
  <c r="I271" i="20"/>
  <c r="K271" i="20" s="1"/>
  <c r="G271" i="20"/>
  <c r="J271" i="20"/>
  <c r="H263" i="20"/>
  <c r="J263" i="20"/>
  <c r="I263" i="20"/>
  <c r="K263" i="20" s="1"/>
  <c r="G263" i="20"/>
  <c r="H255" i="20"/>
  <c r="J255" i="20"/>
  <c r="I255" i="20"/>
  <c r="K255" i="20" s="1"/>
  <c r="G255" i="20"/>
  <c r="H247" i="20"/>
  <c r="J247" i="20"/>
  <c r="I247" i="20"/>
  <c r="K247" i="20" s="1"/>
  <c r="G247" i="20"/>
  <c r="H239" i="20"/>
  <c r="I239" i="20"/>
  <c r="K239" i="20" s="1"/>
  <c r="J239" i="20"/>
  <c r="G239" i="20"/>
  <c r="H6" i="20"/>
  <c r="J6" i="20"/>
  <c r="C58" i="22"/>
  <c r="F5" i="20" s="1"/>
  <c r="C64" i="22"/>
  <c r="F11" i="20" s="1"/>
  <c r="C62" i="22"/>
  <c r="F9" i="20" s="1"/>
  <c r="C60" i="22"/>
  <c r="F7" i="20" s="1"/>
  <c r="C22" i="14"/>
  <c r="E22" i="14" s="1"/>
  <c r="D22" i="14"/>
  <c r="C324" i="20"/>
  <c r="C316" i="20"/>
  <c r="C322" i="20"/>
  <c r="B314" i="20"/>
  <c r="B331" i="20"/>
  <c r="B323" i="20"/>
  <c r="B315" i="20"/>
  <c r="B307" i="20"/>
  <c r="C321" i="20"/>
  <c r="C313" i="20"/>
  <c r="C305" i="20"/>
  <c r="Q288" i="20"/>
  <c r="S288" i="20" s="1"/>
  <c r="Q256" i="20"/>
  <c r="S256" i="20" s="1"/>
  <c r="C245" i="20"/>
  <c r="Q245" i="20"/>
  <c r="S245" i="20" s="1"/>
  <c r="B197" i="20"/>
  <c r="C149" i="20"/>
  <c r="B105" i="20"/>
  <c r="C42" i="20"/>
  <c r="B27" i="20"/>
  <c r="B280" i="20"/>
  <c r="Q280" i="20"/>
  <c r="S280" i="20" s="1"/>
  <c r="E248" i="20"/>
  <c r="L248" i="20" s="1"/>
  <c r="Q248" i="20"/>
  <c r="S248" i="20" s="1"/>
  <c r="B293" i="20"/>
  <c r="Q293" i="20"/>
  <c r="S293" i="20" s="1"/>
  <c r="Q261" i="20"/>
  <c r="S261" i="20" s="1"/>
  <c r="B229" i="20"/>
  <c r="B205" i="20"/>
  <c r="C136" i="20"/>
  <c r="Q276" i="20"/>
  <c r="S276" i="20" s="1"/>
  <c r="B196" i="20"/>
  <c r="B156" i="20"/>
  <c r="E128" i="20"/>
  <c r="B81" i="20"/>
  <c r="B301" i="20"/>
  <c r="Q301" i="20"/>
  <c r="S301" i="20" s="1"/>
  <c r="Q277" i="20"/>
  <c r="S277" i="20" s="1"/>
  <c r="C253" i="20"/>
  <c r="Q253" i="20"/>
  <c r="S253" i="20" s="1"/>
  <c r="B221" i="20"/>
  <c r="B189" i="20"/>
  <c r="C173" i="20"/>
  <c r="B97" i="20"/>
  <c r="B74" i="20"/>
  <c r="B66" i="20"/>
  <c r="C50" i="20"/>
  <c r="Q292" i="20"/>
  <c r="S292" i="20" s="1"/>
  <c r="Q260" i="20"/>
  <c r="S260" i="20" s="1"/>
  <c r="Q291" i="20"/>
  <c r="S291" i="20" s="1"/>
  <c r="Q275" i="20"/>
  <c r="S275" i="20" s="1"/>
  <c r="Q259" i="20"/>
  <c r="S259" i="20" s="1"/>
  <c r="Q243" i="20"/>
  <c r="C195" i="20"/>
  <c r="B179" i="20"/>
  <c r="D119" i="20"/>
  <c r="C64" i="20"/>
  <c r="E32" i="20"/>
  <c r="L32" i="20" s="1"/>
  <c r="Q285" i="20"/>
  <c r="S285" i="20" s="1"/>
  <c r="B269" i="20"/>
  <c r="Q269" i="20"/>
  <c r="S269" i="20" s="1"/>
  <c r="C237" i="20"/>
  <c r="B213" i="20"/>
  <c r="C181" i="20"/>
  <c r="Q300" i="20"/>
  <c r="S300" i="20" s="1"/>
  <c r="Q268" i="20"/>
  <c r="S268" i="20" s="1"/>
  <c r="Q244" i="20"/>
  <c r="B96" i="20"/>
  <c r="D41" i="20"/>
  <c r="Q299" i="20"/>
  <c r="S299" i="20" s="1"/>
  <c r="Q283" i="20"/>
  <c r="S283" i="20" s="1"/>
  <c r="Q267" i="20"/>
  <c r="S267" i="20" s="1"/>
  <c r="Q251" i="20"/>
  <c r="S251" i="20" s="1"/>
  <c r="C219" i="20"/>
  <c r="C95" i="20"/>
  <c r="C88" i="20"/>
  <c r="C72" i="20"/>
  <c r="D56" i="20"/>
  <c r="D25" i="20"/>
  <c r="Q298" i="20"/>
  <c r="S298" i="20" s="1"/>
  <c r="Q290" i="20"/>
  <c r="S290" i="20" s="1"/>
  <c r="Q282" i="20"/>
  <c r="S282" i="20" s="1"/>
  <c r="Q274" i="20"/>
  <c r="S274" i="20" s="1"/>
  <c r="Q266" i="20"/>
  <c r="S266" i="20" s="1"/>
  <c r="Q258" i="20"/>
  <c r="S258" i="20" s="1"/>
  <c r="B250" i="20"/>
  <c r="Q250" i="20"/>
  <c r="S250" i="20" s="1"/>
  <c r="Q242" i="20"/>
  <c r="S242" i="20" s="1"/>
  <c r="C234" i="20"/>
  <c r="C186" i="20"/>
  <c r="B170" i="20"/>
  <c r="C71" i="20"/>
  <c r="Q284" i="20"/>
  <c r="S284" i="20" s="1"/>
  <c r="Q252" i="20"/>
  <c r="S252" i="20" s="1"/>
  <c r="B220" i="20"/>
  <c r="B188" i="20"/>
  <c r="D164" i="20"/>
  <c r="B104" i="20"/>
  <c r="Q297" i="20"/>
  <c r="Q289" i="20"/>
  <c r="S289" i="20" s="1"/>
  <c r="Q281" i="20"/>
  <c r="S281" i="20" s="1"/>
  <c r="Q273" i="20"/>
  <c r="S273" i="20" s="1"/>
  <c r="Q265" i="20"/>
  <c r="S265" i="20" s="1"/>
  <c r="Q257" i="20"/>
  <c r="S257" i="20" s="1"/>
  <c r="Q249" i="20"/>
  <c r="S249" i="20" s="1"/>
  <c r="Q241" i="20"/>
  <c r="Q272" i="20"/>
  <c r="S272" i="20" s="1"/>
  <c r="B144" i="20"/>
  <c r="B139" i="20"/>
  <c r="B124" i="20"/>
  <c r="B116" i="20"/>
  <c r="D108" i="20"/>
  <c r="B85" i="20"/>
  <c r="B13" i="20"/>
  <c r="Q296" i="20"/>
  <c r="S296" i="20" s="1"/>
  <c r="Q264" i="20"/>
  <c r="S264" i="20" s="1"/>
  <c r="Q240" i="20"/>
  <c r="B208" i="20"/>
  <c r="B168" i="20"/>
  <c r="B152" i="20"/>
  <c r="B61" i="20"/>
  <c r="B45" i="20"/>
  <c r="B29" i="20"/>
  <c r="Q287" i="20"/>
  <c r="S287" i="20" s="1"/>
  <c r="Q271" i="20"/>
  <c r="S271" i="20" s="1"/>
  <c r="Q255" i="20"/>
  <c r="Q239" i="20"/>
  <c r="B138" i="20"/>
  <c r="D99" i="20"/>
  <c r="B84" i="20"/>
  <c r="B68" i="20"/>
  <c r="B36" i="20"/>
  <c r="D4" i="20"/>
  <c r="B92" i="20"/>
  <c r="B53" i="20"/>
  <c r="B21" i="20"/>
  <c r="D3" i="20"/>
  <c r="Q295" i="20"/>
  <c r="S295" i="20" s="1"/>
  <c r="Q279" i="20"/>
  <c r="S279" i="20" s="1"/>
  <c r="Q263" i="20"/>
  <c r="S263" i="20" s="1"/>
  <c r="Q247" i="20"/>
  <c r="S247" i="20" s="1"/>
  <c r="D107" i="20"/>
  <c r="B302" i="20"/>
  <c r="Q302" i="20"/>
  <c r="S302" i="20" s="1"/>
  <c r="Q294" i="20"/>
  <c r="S294" i="20" s="1"/>
  <c r="Q286" i="20"/>
  <c r="S286" i="20" s="1"/>
  <c r="Q278" i="20"/>
  <c r="S278" i="20" s="1"/>
  <c r="B270" i="20"/>
  <c r="Q270" i="20"/>
  <c r="S270" i="20" s="1"/>
  <c r="Q262" i="20"/>
  <c r="S262" i="20" s="1"/>
  <c r="Q254" i="20"/>
  <c r="S254" i="20" s="1"/>
  <c r="Q246" i="20"/>
  <c r="S246" i="20" s="1"/>
  <c r="Q238" i="20"/>
  <c r="B9" i="20"/>
  <c r="B6" i="20"/>
  <c r="B18" i="20"/>
  <c r="C16" i="20"/>
  <c r="B20" i="20"/>
  <c r="C79" i="22"/>
  <c r="B79" i="22"/>
  <c r="C61" i="22"/>
  <c r="F8" i="20" s="1"/>
  <c r="C57" i="22"/>
  <c r="F4" i="20" s="1"/>
  <c r="C63" i="22"/>
  <c r="F10" i="20" s="1"/>
  <c r="C59" i="22"/>
  <c r="F6" i="20" s="1"/>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229" i="22"/>
  <c r="C198" i="22"/>
  <c r="C138" i="22"/>
  <c r="C130" i="22"/>
  <c r="C77" i="22"/>
  <c r="C76" i="22"/>
  <c r="C75" i="22"/>
  <c r="C73" i="22"/>
  <c r="C72" i="22"/>
  <c r="C317" i="22"/>
  <c r="C335" i="22"/>
  <c r="C343" i="22"/>
  <c r="C328" i="22"/>
  <c r="C327" i="22"/>
  <c r="C313" i="22"/>
  <c r="C276" i="22"/>
  <c r="C268" i="22"/>
  <c r="C260" i="22"/>
  <c r="C280" i="22"/>
  <c r="C299" i="22"/>
  <c r="C303" i="22"/>
  <c r="C272" i="22"/>
  <c r="C264" i="22"/>
  <c r="A285" i="22"/>
  <c r="C256" i="22"/>
  <c r="C307" i="22"/>
  <c r="C284" i="22"/>
  <c r="C241" i="22"/>
  <c r="C237" i="22"/>
  <c r="C179" i="22"/>
  <c r="C183" i="22"/>
  <c r="C190" i="22"/>
  <c r="C177" i="22"/>
  <c r="C212" i="22"/>
  <c r="C223" i="22"/>
  <c r="C196" i="22"/>
  <c r="C188" i="22"/>
  <c r="C186" i="22"/>
  <c r="C194" i="22"/>
  <c r="C181" i="22"/>
  <c r="C175" i="22"/>
  <c r="C200" i="22"/>
  <c r="C233" i="22"/>
  <c r="C242" i="22"/>
  <c r="C238" i="22"/>
  <c r="C234" i="22"/>
  <c r="C230" i="22"/>
  <c r="C173" i="22"/>
  <c r="C243" i="22"/>
  <c r="C239" i="22"/>
  <c r="C235" i="22"/>
  <c r="C231" i="22"/>
  <c r="C227" i="22"/>
  <c r="C244" i="22"/>
  <c r="C240" i="22"/>
  <c r="C236" i="22"/>
  <c r="C232" i="22"/>
  <c r="C228" i="22"/>
  <c r="C132" i="22"/>
  <c r="C338" i="22"/>
  <c r="C334" i="22"/>
  <c r="C323" i="22"/>
  <c r="C319" i="22"/>
  <c r="A255" i="22"/>
  <c r="C344" i="22"/>
  <c r="C340" i="22"/>
  <c r="C329" i="22"/>
  <c r="C325" i="22"/>
  <c r="C314" i="22"/>
  <c r="C320" i="22"/>
  <c r="C345" i="22"/>
  <c r="C341" i="22"/>
  <c r="C326" i="22"/>
  <c r="A318" i="22"/>
  <c r="C315" i="22"/>
  <c r="A339" i="22"/>
  <c r="C336" i="22"/>
  <c r="C332" i="22"/>
  <c r="A324" i="22"/>
  <c r="C321" i="22"/>
  <c r="C310" i="22"/>
  <c r="C331" i="22"/>
  <c r="C342" i="22"/>
  <c r="C316" i="22"/>
  <c r="C248" i="22"/>
  <c r="C337" i="22"/>
  <c r="C333" i="22"/>
  <c r="C322" i="22"/>
  <c r="C311" i="22"/>
  <c r="C251" i="22"/>
  <c r="C308" i="22"/>
  <c r="C304" i="22"/>
  <c r="C300" i="22"/>
  <c r="C281" i="22"/>
  <c r="C277" i="22"/>
  <c r="C273" i="22"/>
  <c r="C269" i="22"/>
  <c r="C265" i="22"/>
  <c r="C261" i="22"/>
  <c r="C257" i="22"/>
  <c r="C295" i="22"/>
  <c r="C291" i="22"/>
  <c r="C287" i="22"/>
  <c r="C252" i="22"/>
  <c r="C294" i="22"/>
  <c r="C290" i="22"/>
  <c r="C286" i="22"/>
  <c r="A185" i="22"/>
  <c r="C305" i="22"/>
  <c r="C301" i="22"/>
  <c r="C282" i="22"/>
  <c r="C278" i="22"/>
  <c r="C274" i="22"/>
  <c r="C270" i="22"/>
  <c r="C266" i="22"/>
  <c r="C262" i="22"/>
  <c r="C258" i="22"/>
  <c r="C296" i="22"/>
  <c r="C292" i="22"/>
  <c r="C288" i="22"/>
  <c r="C253" i="22"/>
  <c r="C249" i="22"/>
  <c r="C246" i="22"/>
  <c r="C306" i="22"/>
  <c r="C302" i="22"/>
  <c r="C283" i="22"/>
  <c r="C279" i="22"/>
  <c r="C275" i="22"/>
  <c r="C271" i="22"/>
  <c r="C267" i="22"/>
  <c r="C263" i="22"/>
  <c r="C259" i="22"/>
  <c r="C297" i="22"/>
  <c r="C293" i="22"/>
  <c r="C289" i="22"/>
  <c r="C254" i="22"/>
  <c r="C250" i="22"/>
  <c r="C247" i="22"/>
  <c r="C206" i="22"/>
  <c r="A219" i="22"/>
  <c r="C216" i="22"/>
  <c r="C199" i="22"/>
  <c r="C195" i="22"/>
  <c r="C191" i="22"/>
  <c r="C187" i="22"/>
  <c r="C222" i="22"/>
  <c r="C211" i="22"/>
  <c r="C207" i="22"/>
  <c r="C203" i="22"/>
  <c r="C182" i="22"/>
  <c r="C178" i="22"/>
  <c r="C174" i="22"/>
  <c r="C225" i="22"/>
  <c r="C221" i="22"/>
  <c r="C210" i="22"/>
  <c r="C217" i="22"/>
  <c r="C192" i="22"/>
  <c r="C208" i="22"/>
  <c r="C204" i="22"/>
  <c r="C171" i="22"/>
  <c r="C218" i="22"/>
  <c r="A202" i="22"/>
  <c r="C201" i="22"/>
  <c r="C197" i="22"/>
  <c r="C193" i="22"/>
  <c r="C189" i="22"/>
  <c r="C224" i="22"/>
  <c r="C220" i="22"/>
  <c r="C213" i="22"/>
  <c r="C209" i="22"/>
  <c r="C205" i="22"/>
  <c r="C184" i="22"/>
  <c r="C180" i="22"/>
  <c r="C176" i="22"/>
  <c r="C172" i="22"/>
  <c r="C215" i="22"/>
  <c r="C148" i="22"/>
  <c r="C142" i="22"/>
  <c r="C158" i="22"/>
  <c r="C168" i="22"/>
  <c r="C164" i="22"/>
  <c r="C150" i="22"/>
  <c r="C160" i="22"/>
  <c r="A146" i="22"/>
  <c r="C154" i="22"/>
  <c r="C156" i="22"/>
  <c r="C162" i="22"/>
  <c r="C134" i="22"/>
  <c r="C152" i="22"/>
  <c r="C166" i="22"/>
  <c r="C167" i="22"/>
  <c r="C163" i="22"/>
  <c r="C159" i="22"/>
  <c r="C155" i="22"/>
  <c r="C151" i="22"/>
  <c r="C147" i="22"/>
  <c r="C74" i="22"/>
  <c r="C143" i="22"/>
  <c r="C139" i="22"/>
  <c r="C135" i="22"/>
  <c r="C131" i="22"/>
  <c r="C128" i="22"/>
  <c r="C169" i="22"/>
  <c r="C165" i="22"/>
  <c r="C161" i="22"/>
  <c r="C157" i="22"/>
  <c r="C153" i="22"/>
  <c r="C149" i="22"/>
  <c r="C140" i="22"/>
  <c r="C145" i="22"/>
  <c r="C141" i="22"/>
  <c r="C137" i="22"/>
  <c r="C133" i="22"/>
  <c r="C129" i="22"/>
  <c r="C144" i="22"/>
  <c r="C136" i="22"/>
  <c r="C103" i="22"/>
  <c r="C107" i="22"/>
  <c r="C81" i="22"/>
  <c r="C99" i="22"/>
  <c r="C83" i="22"/>
  <c r="C91" i="22"/>
  <c r="C95" i="22"/>
  <c r="C87" i="22"/>
  <c r="C97" i="22"/>
  <c r="C101" i="22"/>
  <c r="C89" i="22"/>
  <c r="C84" i="22"/>
  <c r="C98" i="22"/>
  <c r="C102" i="22"/>
  <c r="C106" i="22"/>
  <c r="C110" i="22"/>
  <c r="C93" i="22"/>
  <c r="C92" i="22"/>
  <c r="C115" i="22"/>
  <c r="C119" i="22"/>
  <c r="C123" i="22"/>
  <c r="C116" i="22"/>
  <c r="C124" i="22"/>
  <c r="C105" i="22"/>
  <c r="C109" i="22"/>
  <c r="C112" i="22"/>
  <c r="C120" i="22"/>
  <c r="A80" i="22"/>
  <c r="A94" i="22"/>
  <c r="C114" i="22"/>
  <c r="C118" i="22"/>
  <c r="C122" i="22"/>
  <c r="C126" i="22"/>
  <c r="C82" i="22"/>
  <c r="C86" i="22"/>
  <c r="A88" i="22"/>
  <c r="C96" i="22"/>
  <c r="C100" i="22"/>
  <c r="C104" i="22"/>
  <c r="C108" i="22"/>
  <c r="A111" i="22"/>
  <c r="C90" i="22"/>
  <c r="C113" i="22"/>
  <c r="C117" i="22"/>
  <c r="C121" i="22"/>
  <c r="C125" i="22"/>
  <c r="C70" i="22"/>
  <c r="C66" i="22"/>
  <c r="C69" i="22"/>
  <c r="A55" i="22"/>
  <c r="A71" i="22"/>
  <c r="C67" i="22"/>
  <c r="A65" i="22"/>
  <c r="F23" i="4" s="1"/>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L242" i="20" s="1"/>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L87" i="20" s="1"/>
  <c r="D87" i="20"/>
  <c r="E79" i="20"/>
  <c r="D79" i="20"/>
  <c r="E71" i="20"/>
  <c r="D71" i="20"/>
  <c r="E63" i="20"/>
  <c r="D63" i="20"/>
  <c r="E55" i="20"/>
  <c r="D55" i="20"/>
  <c r="E47" i="20"/>
  <c r="D47" i="20"/>
  <c r="E39" i="20"/>
  <c r="D39" i="20"/>
  <c r="E31" i="20"/>
  <c r="D31" i="20"/>
  <c r="E23" i="20"/>
  <c r="D23" i="20"/>
  <c r="E15" i="20"/>
  <c r="D15" i="20"/>
  <c r="E7" i="20"/>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L235" i="20" s="1"/>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D22" i="20"/>
  <c r="C22" i="20"/>
  <c r="E14" i="20"/>
  <c r="D14" i="20"/>
  <c r="C14" i="20"/>
  <c r="E6" i="20"/>
  <c r="D6" i="20"/>
  <c r="C235" i="20"/>
  <c r="E311" i="20"/>
  <c r="D311" i="20"/>
  <c r="C311" i="20"/>
  <c r="E288" i="20"/>
  <c r="D288" i="20"/>
  <c r="C288" i="20"/>
  <c r="C264" i="20"/>
  <c r="E264" i="20"/>
  <c r="C240" i="20"/>
  <c r="D240" i="20"/>
  <c r="E224" i="20"/>
  <c r="L224" i="20" s="1"/>
  <c r="D224" i="20"/>
  <c r="C224" i="20"/>
  <c r="C200" i="20"/>
  <c r="E200" i="20"/>
  <c r="D184" i="20"/>
  <c r="C184" i="20"/>
  <c r="C168" i="20"/>
  <c r="E168" i="20"/>
  <c r="C275" i="20"/>
  <c r="C147" i="20"/>
  <c r="E3" i="20"/>
  <c r="C3" i="20"/>
  <c r="E326" i="20"/>
  <c r="D326" i="20"/>
  <c r="C326" i="20"/>
  <c r="E318" i="20"/>
  <c r="L318" i="20" s="1"/>
  <c r="C318" i="20"/>
  <c r="E310" i="20"/>
  <c r="C310" i="20"/>
  <c r="E295" i="20"/>
  <c r="D295" i="20"/>
  <c r="C295" i="20"/>
  <c r="E287" i="20"/>
  <c r="C287" i="20"/>
  <c r="D287" i="20"/>
  <c r="E279" i="20"/>
  <c r="D279" i="20"/>
  <c r="C279" i="20"/>
  <c r="E271" i="20"/>
  <c r="C271" i="20"/>
  <c r="E263" i="20"/>
  <c r="C263" i="20"/>
  <c r="E255" i="20"/>
  <c r="C255" i="20"/>
  <c r="D255" i="20"/>
  <c r="E247" i="20"/>
  <c r="L247" i="20" s="1"/>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L227" i="20" s="1"/>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L225" i="20" s="1"/>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L308" i="20" s="1"/>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L244" i="20" s="1"/>
  <c r="D244" i="20"/>
  <c r="C244" i="20"/>
  <c r="E236" i="20"/>
  <c r="L236" i="20" s="1"/>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D17" i="20"/>
  <c r="C17" i="20"/>
  <c r="E9" i="20"/>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L16" i="20" s="1"/>
  <c r="E8" i="20"/>
  <c r="C8" i="20"/>
  <c r="D32" i="20"/>
  <c r="D64" i="20"/>
  <c r="D95" i="20"/>
  <c r="C5" i="20"/>
  <c r="E13" i="20"/>
  <c r="L13" i="20" s="1"/>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L36" i="20" s="1"/>
  <c r="E28" i="20"/>
  <c r="E20" i="20"/>
  <c r="E12" i="20"/>
  <c r="C4" i="20"/>
  <c r="E4" i="20"/>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D19" i="20"/>
  <c r="E11" i="20"/>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D28" i="20"/>
  <c r="E37" i="20"/>
  <c r="D60" i="20"/>
  <c r="E69" i="20"/>
  <c r="D91" i="20"/>
  <c r="E100" i="20"/>
  <c r="D123" i="20"/>
  <c r="E132" i="20"/>
  <c r="D151" i="20"/>
  <c r="E160" i="20"/>
  <c r="L160" i="20" s="1"/>
  <c r="D183" i="20"/>
  <c r="D215" i="20"/>
  <c r="E285" i="20"/>
  <c r="D285" i="20"/>
  <c r="E277" i="20"/>
  <c r="D277" i="20"/>
  <c r="E269" i="20"/>
  <c r="D269" i="20"/>
  <c r="E261" i="20"/>
  <c r="L261" i="20" s="1"/>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D18" i="20"/>
  <c r="C10" i="20"/>
  <c r="E10" i="20"/>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K144" i="25" l="1"/>
  <c r="K236" i="25"/>
  <c r="K128" i="25"/>
  <c r="N7" i="20"/>
  <c r="N297" i="20"/>
  <c r="N270" i="20"/>
  <c r="N292" i="20"/>
  <c r="K159" i="25"/>
  <c r="K240" i="25"/>
  <c r="K175" i="25"/>
  <c r="K141" i="25"/>
  <c r="K221" i="25"/>
  <c r="K188" i="25"/>
  <c r="K246" i="25"/>
  <c r="K179" i="25"/>
  <c r="K216" i="25"/>
  <c r="K151" i="25"/>
  <c r="K193" i="25"/>
  <c r="K180" i="25"/>
  <c r="K254" i="25"/>
  <c r="K226" i="25"/>
  <c r="K139" i="25"/>
  <c r="K259" i="25"/>
  <c r="K244" i="25"/>
  <c r="K153" i="25"/>
  <c r="K149" i="25"/>
  <c r="K203" i="25"/>
  <c r="K214" i="25"/>
  <c r="K201" i="25"/>
  <c r="K209" i="25"/>
  <c r="K211" i="25"/>
  <c r="K256" i="25"/>
  <c r="K169" i="25"/>
  <c r="K129" i="25"/>
  <c r="K140" i="25"/>
  <c r="K146" i="25"/>
  <c r="K131" i="25"/>
  <c r="K197" i="25"/>
  <c r="K241" i="25"/>
  <c r="I132" i="25"/>
  <c r="K134" i="25"/>
  <c r="K233" i="25"/>
  <c r="K183" i="25"/>
  <c r="K250" i="25"/>
  <c r="K218" i="25"/>
  <c r="K127" i="25"/>
  <c r="K200" i="25"/>
  <c r="K178" i="25"/>
  <c r="K163" i="25"/>
  <c r="K194" i="25"/>
  <c r="K172" i="25"/>
  <c r="K220" i="25"/>
  <c r="K162" i="25"/>
  <c r="K132" i="25"/>
  <c r="K230" i="25"/>
  <c r="K181" i="25"/>
  <c r="K222" i="25"/>
  <c r="K227" i="25"/>
  <c r="K215" i="25"/>
  <c r="K237" i="25"/>
  <c r="K177" i="25"/>
  <c r="K239" i="25"/>
  <c r="K147" i="25"/>
  <c r="K195" i="25"/>
  <c r="K182" i="25"/>
  <c r="K167" i="25"/>
  <c r="K155" i="25"/>
  <c r="K204" i="25"/>
  <c r="K231" i="25"/>
  <c r="K257" i="25"/>
  <c r="K223" i="25"/>
  <c r="K243" i="25"/>
  <c r="K248" i="25"/>
  <c r="K253" i="25"/>
  <c r="K174" i="25"/>
  <c r="K137" i="25"/>
  <c r="K168" i="25"/>
  <c r="K165" i="25"/>
  <c r="K224" i="25"/>
  <c r="K213" i="25"/>
  <c r="K198" i="25"/>
  <c r="K229" i="25"/>
  <c r="K242" i="25"/>
  <c r="K133" i="25"/>
  <c r="K258" i="25"/>
  <c r="K196" i="25"/>
  <c r="L126" i="25"/>
  <c r="K219" i="25"/>
  <c r="K171" i="25"/>
  <c r="K138" i="25"/>
  <c r="K235" i="25"/>
  <c r="K255" i="25"/>
  <c r="K154" i="25"/>
  <c r="K232" i="25"/>
  <c r="K238" i="25"/>
  <c r="K148" i="25"/>
  <c r="K136" i="25"/>
  <c r="K190" i="25"/>
  <c r="K205" i="25"/>
  <c r="K245" i="25"/>
  <c r="K186" i="25"/>
  <c r="K206" i="25"/>
  <c r="K210" i="25"/>
  <c r="K176" i="25"/>
  <c r="K228" i="25"/>
  <c r="K152" i="25"/>
  <c r="K187" i="25"/>
  <c r="K158" i="25"/>
  <c r="K161" i="25"/>
  <c r="K225" i="25"/>
  <c r="K156" i="25"/>
  <c r="K251" i="25"/>
  <c r="K166" i="25"/>
  <c r="K234" i="25"/>
  <c r="K143" i="25"/>
  <c r="K184" i="25"/>
  <c r="N4" i="20"/>
  <c r="N259" i="20"/>
  <c r="N291" i="20"/>
  <c r="K202" i="25"/>
  <c r="K126" i="25"/>
  <c r="K208" i="25"/>
  <c r="K157" i="25"/>
  <c r="K252" i="25"/>
  <c r="K185" i="25"/>
  <c r="K191" i="25"/>
  <c r="K249" i="25"/>
  <c r="N8" i="20"/>
  <c r="N278" i="20"/>
  <c r="N253" i="20"/>
  <c r="N6" i="20"/>
  <c r="O10" i="20"/>
  <c r="L10" i="20"/>
  <c r="O11" i="20"/>
  <c r="L11" i="20"/>
  <c r="N271" i="20"/>
  <c r="L9" i="20"/>
  <c r="O9" i="20"/>
  <c r="O5" i="20"/>
  <c r="L5" i="20"/>
  <c r="O17" i="20"/>
  <c r="L17" i="20"/>
  <c r="O19" i="20"/>
  <c r="L19" i="20"/>
  <c r="O22" i="20"/>
  <c r="L22" i="20"/>
  <c r="O3" i="20"/>
  <c r="L3" i="20"/>
  <c r="O8" i="20"/>
  <c r="L8" i="20"/>
  <c r="L21" i="20"/>
  <c r="O21" i="20"/>
  <c r="O4" i="20"/>
  <c r="L4" i="20"/>
  <c r="O7" i="20"/>
  <c r="L7" i="20"/>
  <c r="O18" i="20"/>
  <c r="L18" i="20"/>
  <c r="O20" i="20"/>
  <c r="L20" i="20"/>
  <c r="O23" i="20"/>
  <c r="L23" i="20"/>
  <c r="O6" i="20"/>
  <c r="L6" i="20"/>
  <c r="N9" i="20"/>
  <c r="N249" i="20"/>
  <c r="N240" i="20"/>
  <c r="N272" i="20"/>
  <c r="N293" i="20"/>
  <c r="N268" i="20"/>
  <c r="N290" i="20"/>
  <c r="N266" i="20"/>
  <c r="N241" i="20"/>
  <c r="N245" i="20"/>
  <c r="N251" i="20"/>
  <c r="N283" i="20"/>
  <c r="N301" i="20"/>
  <c r="N282" i="20"/>
  <c r="N300" i="20"/>
  <c r="N286" i="20"/>
  <c r="N289" i="20"/>
  <c r="N239" i="20"/>
  <c r="N238" i="20"/>
  <c r="N244" i="20"/>
  <c r="N302" i="20"/>
  <c r="N3" i="20"/>
  <c r="N248" i="20"/>
  <c r="N280" i="20"/>
  <c r="N265" i="20"/>
  <c r="N242" i="20"/>
  <c r="N274" i="20"/>
  <c r="N284" i="20"/>
  <c r="N246" i="20"/>
  <c r="N262" i="20"/>
  <c r="N260" i="20"/>
  <c r="T260" i="20" s="1"/>
  <c r="V260" i="20" s="1"/>
  <c r="N279" i="20"/>
  <c r="N294" i="20"/>
  <c r="N276" i="20"/>
  <c r="N254" i="20"/>
  <c r="N295" i="20"/>
  <c r="N277" i="20"/>
  <c r="N298" i="20"/>
  <c r="N247" i="20"/>
  <c r="N255" i="20"/>
  <c r="N287" i="20"/>
  <c r="N273" i="20"/>
  <c r="N285" i="20"/>
  <c r="N10" i="20"/>
  <c r="N267" i="20"/>
  <c r="N299" i="20"/>
  <c r="N263" i="20"/>
  <c r="N296" i="20"/>
  <c r="N261" i="20"/>
  <c r="N257" i="20"/>
  <c r="N269" i="20"/>
  <c r="N256" i="20"/>
  <c r="N288" i="20"/>
  <c r="N281" i="20"/>
  <c r="N250" i="20"/>
  <c r="N264" i="20"/>
  <c r="N258" i="20"/>
  <c r="N252" i="20"/>
  <c r="N5" i="20"/>
  <c r="N243" i="20"/>
  <c r="N275" i="20"/>
  <c r="N11" i="20"/>
  <c r="J13" i="20"/>
  <c r="G127" i="25"/>
  <c r="F27" i="4"/>
  <c r="F128" i="25"/>
  <c r="J134" i="25"/>
  <c r="G129" i="25"/>
  <c r="J20" i="20"/>
  <c r="M15" i="20"/>
  <c r="Q15" i="20" s="1"/>
  <c r="J129" i="25"/>
  <c r="F19" i="12"/>
  <c r="G16" i="20"/>
  <c r="J19" i="20"/>
  <c r="H20" i="20"/>
  <c r="H24" i="20"/>
  <c r="J128" i="25"/>
  <c r="H131" i="25"/>
  <c r="I237" i="25"/>
  <c r="I127" i="25"/>
  <c r="G131" i="25"/>
  <c r="H19" i="20"/>
  <c r="G107" i="20"/>
  <c r="G24" i="20"/>
  <c r="F20" i="12"/>
  <c r="G17" i="20"/>
  <c r="C174" i="25"/>
  <c r="J16" i="20"/>
  <c r="I19" i="20"/>
  <c r="K19" i="20" s="1"/>
  <c r="M14" i="20"/>
  <c r="Q14" i="20" s="1"/>
  <c r="M16" i="20"/>
  <c r="Q16" i="20" s="1"/>
  <c r="G134" i="25"/>
  <c r="F32" i="4"/>
  <c r="F19" i="14" s="1"/>
  <c r="F131" i="25"/>
  <c r="I17" i="20"/>
  <c r="K17" i="20" s="1"/>
  <c r="G132" i="25"/>
  <c r="I133" i="25"/>
  <c r="H88" i="20"/>
  <c r="G175" i="25"/>
  <c r="I16" i="20"/>
  <c r="K16" i="20" s="1"/>
  <c r="J17" i="20"/>
  <c r="M13" i="20"/>
  <c r="Q13" i="20" s="1"/>
  <c r="M24" i="20"/>
  <c r="Q24" i="20" s="1"/>
  <c r="J126" i="25"/>
  <c r="F18" i="12"/>
  <c r="G134" i="20"/>
  <c r="J15" i="20"/>
  <c r="H16" i="20"/>
  <c r="H17" i="20"/>
  <c r="I134" i="25"/>
  <c r="H128" i="25"/>
  <c r="F134" i="25"/>
  <c r="G126" i="25"/>
  <c r="D134" i="25"/>
  <c r="H15" i="20"/>
  <c r="M23" i="20"/>
  <c r="Q23" i="20" s="1"/>
  <c r="J24" i="20"/>
  <c r="F21" i="12"/>
  <c r="J23" i="20"/>
  <c r="J18" i="20"/>
  <c r="F25" i="4"/>
  <c r="F33" i="4"/>
  <c r="H127" i="25"/>
  <c r="C140" i="25"/>
  <c r="H23" i="20"/>
  <c r="G13" i="20"/>
  <c r="H18" i="20"/>
  <c r="H126" i="25"/>
  <c r="F126" i="25"/>
  <c r="J131" i="25"/>
  <c r="H13" i="20"/>
  <c r="F26" i="4"/>
  <c r="J132" i="25"/>
  <c r="J133" i="25"/>
  <c r="I23" i="20"/>
  <c r="K23" i="20" s="1"/>
  <c r="I214" i="25"/>
  <c r="J21" i="20"/>
  <c r="E134" i="25"/>
  <c r="F133" i="25"/>
  <c r="F34" i="4"/>
  <c r="F18" i="13"/>
  <c r="M18" i="20"/>
  <c r="Q18" i="20" s="1"/>
  <c r="M19" i="20"/>
  <c r="Q19" i="20" s="1"/>
  <c r="I129" i="25"/>
  <c r="G149" i="20"/>
  <c r="I35" i="20"/>
  <c r="K35" i="20" s="1"/>
  <c r="J12" i="20"/>
  <c r="H21" i="20"/>
  <c r="F132" i="25"/>
  <c r="H134" i="25"/>
  <c r="C127" i="25"/>
  <c r="C131" i="25"/>
  <c r="I12" i="20"/>
  <c r="K12" i="20" s="1"/>
  <c r="F29" i="4"/>
  <c r="J127" i="25"/>
  <c r="H133" i="25"/>
  <c r="M20" i="20"/>
  <c r="Q20" i="20" s="1"/>
  <c r="G128" i="25"/>
  <c r="C132" i="25"/>
  <c r="J14" i="20"/>
  <c r="G136" i="25"/>
  <c r="H129" i="25"/>
  <c r="F35" i="4"/>
  <c r="F24" i="4"/>
  <c r="M22" i="20"/>
  <c r="Q22" i="20" s="1"/>
  <c r="I131" i="25"/>
  <c r="H12" i="20"/>
  <c r="C129" i="25"/>
  <c r="C133" i="25"/>
  <c r="C134" i="25"/>
  <c r="H14" i="20"/>
  <c r="I24" i="20"/>
  <c r="K24" i="20" s="1"/>
  <c r="F30" i="4"/>
  <c r="F36" i="4"/>
  <c r="F22" i="14" s="1"/>
  <c r="I126" i="25"/>
  <c r="H132" i="25"/>
  <c r="F18" i="9"/>
  <c r="M21" i="20"/>
  <c r="Q21" i="20" s="1"/>
  <c r="I18" i="20"/>
  <c r="K18" i="20" s="1"/>
  <c r="G23" i="20"/>
  <c r="J22" i="20"/>
  <c r="I128" i="25"/>
  <c r="C126" i="25"/>
  <c r="I233" i="25"/>
  <c r="H22" i="20"/>
  <c r="F129" i="25"/>
  <c r="F18" i="10"/>
  <c r="G18" i="20"/>
  <c r="M12" i="20"/>
  <c r="Q12" i="20" s="1"/>
  <c r="M17" i="20"/>
  <c r="Q17" i="20" s="1"/>
  <c r="F31" i="4"/>
  <c r="F18" i="11"/>
  <c r="G133" i="25"/>
  <c r="G19" i="20"/>
  <c r="F127" i="25"/>
  <c r="G36" i="20"/>
  <c r="J60" i="20"/>
  <c r="J140" i="20"/>
  <c r="H188" i="20"/>
  <c r="G185" i="20"/>
  <c r="J59" i="20"/>
  <c r="J236" i="20"/>
  <c r="C208" i="25"/>
  <c r="J123" i="20"/>
  <c r="C179" i="25"/>
  <c r="J179" i="20"/>
  <c r="G128" i="20"/>
  <c r="I70" i="20"/>
  <c r="K70" i="20" s="1"/>
  <c r="J304" i="20"/>
  <c r="J229" i="20"/>
  <c r="M125" i="20"/>
  <c r="Q125" i="20" s="1"/>
  <c r="I239" i="25"/>
  <c r="G259" i="25"/>
  <c r="C219" i="25"/>
  <c r="G177" i="25"/>
  <c r="H129" i="20"/>
  <c r="J150" i="20"/>
  <c r="J152" i="20"/>
  <c r="J73" i="20"/>
  <c r="C229" i="25"/>
  <c r="G214" i="25"/>
  <c r="H208" i="20"/>
  <c r="H161" i="20"/>
  <c r="H39" i="20"/>
  <c r="H26" i="20"/>
  <c r="I255" i="25"/>
  <c r="I103" i="20"/>
  <c r="K103" i="20" s="1"/>
  <c r="J90" i="20"/>
  <c r="C165" i="25"/>
  <c r="I174" i="25"/>
  <c r="J167" i="20"/>
  <c r="H205" i="20"/>
  <c r="H138" i="20"/>
  <c r="G105" i="20"/>
  <c r="H231" i="20"/>
  <c r="J202" i="20"/>
  <c r="G54" i="20"/>
  <c r="I187" i="25"/>
  <c r="I42" i="20"/>
  <c r="K42" i="20" s="1"/>
  <c r="I171" i="25"/>
  <c r="C138" i="25"/>
  <c r="G141" i="25"/>
  <c r="I175" i="25"/>
  <c r="I95" i="20"/>
  <c r="K95" i="20" s="1"/>
  <c r="C213" i="25"/>
  <c r="G213" i="25"/>
  <c r="G72" i="20"/>
  <c r="I235" i="25"/>
  <c r="G226" i="25"/>
  <c r="G197" i="25"/>
  <c r="C258" i="25"/>
  <c r="I251" i="25"/>
  <c r="I158" i="25"/>
  <c r="G186" i="25"/>
  <c r="G176" i="25"/>
  <c r="I229" i="25"/>
  <c r="I144" i="25"/>
  <c r="I47" i="20"/>
  <c r="K47" i="20" s="1"/>
  <c r="J39" i="20"/>
  <c r="J103" i="20"/>
  <c r="H159" i="20"/>
  <c r="J231" i="20"/>
  <c r="J89" i="20"/>
  <c r="J181" i="20"/>
  <c r="J88" i="20"/>
  <c r="H144" i="20"/>
  <c r="J208" i="20"/>
  <c r="H304" i="20"/>
  <c r="H73" i="20"/>
  <c r="I161" i="20"/>
  <c r="K161" i="20" s="1"/>
  <c r="I26" i="20"/>
  <c r="K26" i="20" s="1"/>
  <c r="H82" i="20"/>
  <c r="J138" i="20"/>
  <c r="G202" i="20"/>
  <c r="H229" i="20"/>
  <c r="H118" i="20"/>
  <c r="H51" i="20"/>
  <c r="H115" i="20"/>
  <c r="G171" i="20"/>
  <c r="H36" i="20"/>
  <c r="G140" i="20"/>
  <c r="H228" i="20"/>
  <c r="J308" i="20"/>
  <c r="G150" i="20"/>
  <c r="J188" i="20"/>
  <c r="I306" i="20"/>
  <c r="K306" i="20" s="1"/>
  <c r="G244" i="25"/>
  <c r="M333" i="20"/>
  <c r="Q333" i="20" s="1"/>
  <c r="M147" i="20"/>
  <c r="Q147" i="20" s="1"/>
  <c r="M88" i="20"/>
  <c r="Q88" i="20" s="1"/>
  <c r="G228" i="25"/>
  <c r="G229" i="25"/>
  <c r="G221" i="25"/>
  <c r="M197" i="20"/>
  <c r="Q197" i="20" s="1"/>
  <c r="M213" i="20"/>
  <c r="Q213" i="20" s="1"/>
  <c r="M114" i="20"/>
  <c r="Q114" i="20" s="1"/>
  <c r="M75" i="20"/>
  <c r="Q75" i="20" s="1"/>
  <c r="G148" i="25"/>
  <c r="M38" i="20"/>
  <c r="Q38" i="20" s="1"/>
  <c r="M39" i="20"/>
  <c r="Q39" i="20" s="1"/>
  <c r="M60" i="20"/>
  <c r="Q60" i="20" s="1"/>
  <c r="M41" i="20"/>
  <c r="Q41" i="20" s="1"/>
  <c r="I138" i="25"/>
  <c r="I176" i="25"/>
  <c r="M321" i="20"/>
  <c r="Q321" i="20" s="1"/>
  <c r="M167" i="20"/>
  <c r="Q167" i="20" s="1"/>
  <c r="M108" i="20"/>
  <c r="Q108" i="20" s="1"/>
  <c r="I249" i="25"/>
  <c r="G250" i="25"/>
  <c r="M44" i="20"/>
  <c r="Q44" i="20" s="1"/>
  <c r="M103" i="20"/>
  <c r="Q103" i="20" s="1"/>
  <c r="M233" i="20"/>
  <c r="Q233" i="20" s="1"/>
  <c r="M134" i="20"/>
  <c r="Q134" i="20" s="1"/>
  <c r="M95" i="20"/>
  <c r="Q95" i="20" s="1"/>
  <c r="M36" i="20"/>
  <c r="Q36" i="20" s="1"/>
  <c r="M58" i="20"/>
  <c r="Q58" i="20" s="1"/>
  <c r="M59" i="20"/>
  <c r="Q59" i="20" s="1"/>
  <c r="M80" i="20"/>
  <c r="Q80" i="20" s="1"/>
  <c r="M61" i="20"/>
  <c r="Q61" i="20" s="1"/>
  <c r="M42" i="20"/>
  <c r="Q42" i="20" s="1"/>
  <c r="G39" i="20"/>
  <c r="H103" i="20"/>
  <c r="H167" i="20"/>
  <c r="G231" i="20"/>
  <c r="J129" i="20"/>
  <c r="J29" i="20"/>
  <c r="J205" i="20"/>
  <c r="J96" i="20"/>
  <c r="H152" i="20"/>
  <c r="J216" i="20"/>
  <c r="I81" i="20"/>
  <c r="K81" i="20" s="1"/>
  <c r="J161" i="20"/>
  <c r="J34" i="20"/>
  <c r="I90" i="20"/>
  <c r="K90" i="20" s="1"/>
  <c r="G146" i="20"/>
  <c r="H202" i="20"/>
  <c r="G229" i="20"/>
  <c r="J38" i="20"/>
  <c r="J134" i="20"/>
  <c r="H59" i="20"/>
  <c r="I123" i="20"/>
  <c r="K123" i="20" s="1"/>
  <c r="I179" i="20"/>
  <c r="K179" i="20" s="1"/>
  <c r="J44" i="20"/>
  <c r="H140" i="20"/>
  <c r="H236" i="20"/>
  <c r="H150" i="20"/>
  <c r="H60" i="20"/>
  <c r="G204" i="20"/>
  <c r="M143" i="20"/>
  <c r="Q143" i="20" s="1"/>
  <c r="M187" i="20"/>
  <c r="Q187" i="20" s="1"/>
  <c r="M128" i="20"/>
  <c r="Q128" i="20" s="1"/>
  <c r="G181" i="25"/>
  <c r="M124" i="20"/>
  <c r="Q124" i="20" s="1"/>
  <c r="M313" i="20"/>
  <c r="Q313" i="20" s="1"/>
  <c r="M154" i="20"/>
  <c r="Q154" i="20" s="1"/>
  <c r="M115" i="20"/>
  <c r="Q115" i="20" s="1"/>
  <c r="M56" i="20"/>
  <c r="Q56" i="20" s="1"/>
  <c r="M78" i="20"/>
  <c r="Q78" i="20" s="1"/>
  <c r="M79" i="20"/>
  <c r="Q79" i="20" s="1"/>
  <c r="M100" i="20"/>
  <c r="Q100" i="20" s="1"/>
  <c r="M81" i="20"/>
  <c r="Q81" i="20" s="1"/>
  <c r="M62" i="20"/>
  <c r="Q62" i="20" s="1"/>
  <c r="C149" i="25"/>
  <c r="G165" i="25"/>
  <c r="I184" i="25"/>
  <c r="G76" i="20"/>
  <c r="I194" i="25"/>
  <c r="I243" i="25"/>
  <c r="G230" i="25"/>
  <c r="C151" i="25"/>
  <c r="C223" i="25"/>
  <c r="I46" i="20"/>
  <c r="K46" i="20" s="1"/>
  <c r="G32" i="20"/>
  <c r="C206" i="25"/>
  <c r="G103" i="20"/>
  <c r="G146" i="25"/>
  <c r="C146" i="25"/>
  <c r="G172" i="25"/>
  <c r="C177" i="25"/>
  <c r="C186" i="25"/>
  <c r="C175" i="25"/>
  <c r="G110" i="20"/>
  <c r="I69" i="20"/>
  <c r="K69" i="20" s="1"/>
  <c r="C193" i="25"/>
  <c r="I156" i="20"/>
  <c r="K156" i="20" s="1"/>
  <c r="G248" i="25"/>
  <c r="C233" i="25"/>
  <c r="G152" i="25"/>
  <c r="I232" i="20"/>
  <c r="K232" i="20" s="1"/>
  <c r="C227" i="25"/>
  <c r="I241" i="25"/>
  <c r="G47" i="20"/>
  <c r="J111" i="20"/>
  <c r="G167" i="20"/>
  <c r="G129" i="20"/>
  <c r="H29" i="20"/>
  <c r="G205" i="20"/>
  <c r="J32" i="20"/>
  <c r="H96" i="20"/>
  <c r="J160" i="20"/>
  <c r="H216" i="20"/>
  <c r="H81" i="20"/>
  <c r="H177" i="20"/>
  <c r="H34" i="20"/>
  <c r="H90" i="20"/>
  <c r="J146" i="20"/>
  <c r="G210" i="20"/>
  <c r="H306" i="20"/>
  <c r="H38" i="20"/>
  <c r="H134" i="20"/>
  <c r="J67" i="20"/>
  <c r="H123" i="20"/>
  <c r="H179" i="20"/>
  <c r="H44" i="20"/>
  <c r="G156" i="20"/>
  <c r="J69" i="20"/>
  <c r="J166" i="20"/>
  <c r="J76" i="20"/>
  <c r="J204" i="20"/>
  <c r="H45" i="20"/>
  <c r="G322" i="20"/>
  <c r="M207" i="20"/>
  <c r="Q207" i="20" s="1"/>
  <c r="M148" i="20"/>
  <c r="Q148" i="20" s="1"/>
  <c r="M29" i="20"/>
  <c r="Q29" i="20" s="1"/>
  <c r="G231" i="25"/>
  <c r="M317" i="20"/>
  <c r="Q317" i="20" s="1"/>
  <c r="M174" i="20"/>
  <c r="Q174" i="20" s="1"/>
  <c r="M135" i="20"/>
  <c r="Q135" i="20" s="1"/>
  <c r="M76" i="20"/>
  <c r="Q76" i="20" s="1"/>
  <c r="I147" i="25"/>
  <c r="M98" i="20"/>
  <c r="Q98" i="20" s="1"/>
  <c r="M99" i="20"/>
  <c r="Q99" i="20" s="1"/>
  <c r="M120" i="20"/>
  <c r="Q120" i="20" s="1"/>
  <c r="M101" i="20"/>
  <c r="Q101" i="20" s="1"/>
  <c r="M82" i="20"/>
  <c r="Q82" i="20" s="1"/>
  <c r="C184" i="25"/>
  <c r="I162" i="25"/>
  <c r="I228" i="20"/>
  <c r="K228" i="20" s="1"/>
  <c r="I259" i="25"/>
  <c r="C246" i="25"/>
  <c r="G204" i="25"/>
  <c r="G99" i="20"/>
  <c r="I139" i="25"/>
  <c r="G147" i="25"/>
  <c r="G178" i="25"/>
  <c r="G82" i="20"/>
  <c r="I180" i="25"/>
  <c r="I73" i="20"/>
  <c r="K73" i="20" s="1"/>
  <c r="G194" i="25"/>
  <c r="I160" i="20"/>
  <c r="K160" i="20" s="1"/>
  <c r="C251" i="25"/>
  <c r="G234" i="25"/>
  <c r="C154" i="25"/>
  <c r="I236" i="20"/>
  <c r="K236" i="20" s="1"/>
  <c r="C231" i="25"/>
  <c r="I305" i="20"/>
  <c r="K305" i="20" s="1"/>
  <c r="I245" i="25"/>
  <c r="G33" i="20"/>
  <c r="I136" i="20"/>
  <c r="K136" i="20" s="1"/>
  <c r="C218" i="25"/>
  <c r="D191" i="25"/>
  <c r="J47" i="20"/>
  <c r="I111" i="20"/>
  <c r="K111" i="20" s="1"/>
  <c r="J175" i="20"/>
  <c r="H153" i="20"/>
  <c r="J37" i="20"/>
  <c r="H32" i="20"/>
  <c r="J104" i="20"/>
  <c r="H160" i="20"/>
  <c r="J224" i="20"/>
  <c r="J81" i="20"/>
  <c r="J177" i="20"/>
  <c r="G34" i="20"/>
  <c r="J98" i="20"/>
  <c r="H146" i="20"/>
  <c r="J210" i="20"/>
  <c r="J306" i="20"/>
  <c r="G38" i="20"/>
  <c r="J158" i="20"/>
  <c r="H67" i="20"/>
  <c r="J131" i="20"/>
  <c r="J187" i="20"/>
  <c r="G44" i="20"/>
  <c r="J156" i="20"/>
  <c r="H69" i="20"/>
  <c r="H166" i="20"/>
  <c r="H76" i="20"/>
  <c r="H204" i="20"/>
  <c r="J45" i="20"/>
  <c r="I204" i="25"/>
  <c r="M227" i="20"/>
  <c r="Q227" i="20" s="1"/>
  <c r="M168" i="20"/>
  <c r="Q168" i="20" s="1"/>
  <c r="M49" i="20"/>
  <c r="Q49" i="20" s="1"/>
  <c r="G209" i="25"/>
  <c r="M83" i="20"/>
  <c r="Q83" i="20" s="1"/>
  <c r="M194" i="20"/>
  <c r="Q194" i="20" s="1"/>
  <c r="M155" i="20"/>
  <c r="Q155" i="20" s="1"/>
  <c r="M96" i="20"/>
  <c r="Q96" i="20" s="1"/>
  <c r="M37" i="20"/>
  <c r="Q37" i="20" s="1"/>
  <c r="M118" i="20"/>
  <c r="Q118" i="20" s="1"/>
  <c r="M119" i="20"/>
  <c r="Q119" i="20" s="1"/>
  <c r="M140" i="20"/>
  <c r="Q140" i="20" s="1"/>
  <c r="M121" i="20"/>
  <c r="Q121" i="20" s="1"/>
  <c r="M102" i="20"/>
  <c r="Q102" i="20" s="1"/>
  <c r="C235" i="25"/>
  <c r="H47" i="20"/>
  <c r="H175" i="20"/>
  <c r="H37" i="20"/>
  <c r="H104" i="20"/>
  <c r="J168" i="20"/>
  <c r="H224" i="20"/>
  <c r="I97" i="20"/>
  <c r="K97" i="20" s="1"/>
  <c r="H193" i="20"/>
  <c r="J42" i="20"/>
  <c r="I98" i="20"/>
  <c r="K98" i="20" s="1"/>
  <c r="G154" i="20"/>
  <c r="H210" i="20"/>
  <c r="J61" i="20"/>
  <c r="J46" i="20"/>
  <c r="H158" i="20"/>
  <c r="I67" i="20"/>
  <c r="K67" i="20" s="1"/>
  <c r="H131" i="20"/>
  <c r="H187" i="20"/>
  <c r="J52" i="20"/>
  <c r="H156" i="20"/>
  <c r="H117" i="20"/>
  <c r="G198" i="20"/>
  <c r="J92" i="20"/>
  <c r="J220" i="20"/>
  <c r="H85" i="20"/>
  <c r="I313" i="20"/>
  <c r="K313" i="20" s="1"/>
  <c r="G303" i="20"/>
  <c r="M304" i="20"/>
  <c r="Q304" i="20" s="1"/>
  <c r="M307" i="20"/>
  <c r="Q307" i="20" s="1"/>
  <c r="M188" i="20"/>
  <c r="Q188" i="20" s="1"/>
  <c r="M69" i="20"/>
  <c r="Q69" i="20" s="1"/>
  <c r="I167" i="25"/>
  <c r="M224" i="20"/>
  <c r="Q224" i="20" s="1"/>
  <c r="M214" i="20"/>
  <c r="Q214" i="20" s="1"/>
  <c r="M175" i="20"/>
  <c r="Q175" i="20" s="1"/>
  <c r="M116" i="20"/>
  <c r="Q116" i="20" s="1"/>
  <c r="M57" i="20"/>
  <c r="Q57" i="20" s="1"/>
  <c r="M138" i="20"/>
  <c r="Q138" i="20" s="1"/>
  <c r="M139" i="20"/>
  <c r="Q139" i="20" s="1"/>
  <c r="M160" i="20"/>
  <c r="Q160" i="20" s="1"/>
  <c r="M141" i="20"/>
  <c r="Q141" i="20" s="1"/>
  <c r="M122" i="20"/>
  <c r="Q122" i="20" s="1"/>
  <c r="I54" i="20"/>
  <c r="K54" i="20" s="1"/>
  <c r="C209" i="25"/>
  <c r="G182" i="25"/>
  <c r="I88" i="20"/>
  <c r="K88" i="20" s="1"/>
  <c r="C198" i="25"/>
  <c r="G210" i="25"/>
  <c r="C239" i="25"/>
  <c r="G66" i="20"/>
  <c r="I231" i="20"/>
  <c r="K231" i="20" s="1"/>
  <c r="G37" i="20"/>
  <c r="C190" i="25"/>
  <c r="C226" i="25"/>
  <c r="H55" i="20"/>
  <c r="J119" i="20"/>
  <c r="J183" i="20"/>
  <c r="I169" i="20"/>
  <c r="K169" i="20" s="1"/>
  <c r="J53" i="20"/>
  <c r="H40" i="20"/>
  <c r="G112" i="20"/>
  <c r="I168" i="20"/>
  <c r="K168" i="20" s="1"/>
  <c r="J232" i="20"/>
  <c r="H97" i="20"/>
  <c r="J193" i="20"/>
  <c r="H42" i="20"/>
  <c r="H98" i="20"/>
  <c r="J154" i="20"/>
  <c r="G218" i="20"/>
  <c r="H61" i="20"/>
  <c r="H46" i="20"/>
  <c r="J182" i="20"/>
  <c r="J75" i="20"/>
  <c r="G131" i="20"/>
  <c r="J195" i="20"/>
  <c r="H52" i="20"/>
  <c r="J164" i="20"/>
  <c r="I117" i="20"/>
  <c r="K117" i="20" s="1"/>
  <c r="J198" i="20"/>
  <c r="I92" i="20"/>
  <c r="K92" i="20" s="1"/>
  <c r="H220" i="20"/>
  <c r="I85" i="20"/>
  <c r="K85" i="20" s="1"/>
  <c r="I303" i="20"/>
  <c r="K303" i="20" s="1"/>
  <c r="I310" i="20"/>
  <c r="K310" i="20" s="1"/>
  <c r="G144" i="25"/>
  <c r="M327" i="20"/>
  <c r="Q327" i="20" s="1"/>
  <c r="M208" i="20"/>
  <c r="Q208" i="20" s="1"/>
  <c r="M89" i="20"/>
  <c r="Q89" i="20" s="1"/>
  <c r="G184" i="25"/>
  <c r="G232" i="25"/>
  <c r="M234" i="20"/>
  <c r="Q234" i="20" s="1"/>
  <c r="M195" i="20"/>
  <c r="Q195" i="20" s="1"/>
  <c r="M136" i="20"/>
  <c r="Q136" i="20" s="1"/>
  <c r="M77" i="20"/>
  <c r="Q77" i="20" s="1"/>
  <c r="M158" i="20"/>
  <c r="Q158" i="20" s="1"/>
  <c r="M159" i="20"/>
  <c r="Q159" i="20" s="1"/>
  <c r="M180" i="20"/>
  <c r="Q180" i="20" s="1"/>
  <c r="M161" i="20"/>
  <c r="Q161" i="20" s="1"/>
  <c r="M142" i="20"/>
  <c r="Q142" i="20" s="1"/>
  <c r="E136" i="25"/>
  <c r="C183" i="25"/>
  <c r="I136" i="25"/>
  <c r="C197" i="25"/>
  <c r="I250" i="25"/>
  <c r="C141" i="25"/>
  <c r="G83" i="20"/>
  <c r="C187" i="25"/>
  <c r="C255" i="25"/>
  <c r="G238" i="25"/>
  <c r="C158" i="25"/>
  <c r="I140" i="20"/>
  <c r="K140" i="20" s="1"/>
  <c r="G101" i="20"/>
  <c r="C153" i="25"/>
  <c r="G138" i="25"/>
  <c r="I205" i="25"/>
  <c r="C171" i="25"/>
  <c r="C185" i="25"/>
  <c r="C167" i="25"/>
  <c r="G113" i="20"/>
  <c r="I80" i="20"/>
  <c r="K80" i="20" s="1"/>
  <c r="I195" i="25"/>
  <c r="G160" i="20"/>
  <c r="G256" i="25"/>
  <c r="C241" i="25"/>
  <c r="G159" i="25"/>
  <c r="I143" i="20"/>
  <c r="K143" i="20" s="1"/>
  <c r="C248" i="25"/>
  <c r="C243" i="25"/>
  <c r="G156" i="25"/>
  <c r="G70" i="20"/>
  <c r="I235" i="20"/>
  <c r="K235" i="20" s="1"/>
  <c r="I66" i="20"/>
  <c r="K66" i="20" s="1"/>
  <c r="C191" i="25"/>
  <c r="C234" i="25"/>
  <c r="J55" i="20"/>
  <c r="H119" i="20"/>
  <c r="I183" i="20"/>
  <c r="K183" i="20" s="1"/>
  <c r="H169" i="20"/>
  <c r="H53" i="20"/>
  <c r="G40" i="20"/>
  <c r="J112" i="20"/>
  <c r="H168" i="20"/>
  <c r="H232" i="20"/>
  <c r="H25" i="20"/>
  <c r="J97" i="20"/>
  <c r="G193" i="20"/>
  <c r="G42" i="20"/>
  <c r="J106" i="20"/>
  <c r="H154" i="20"/>
  <c r="J218" i="20"/>
  <c r="I61" i="20"/>
  <c r="K61" i="20" s="1"/>
  <c r="G46" i="20"/>
  <c r="H182" i="20"/>
  <c r="H75" i="20"/>
  <c r="J139" i="20"/>
  <c r="H195" i="20"/>
  <c r="G52" i="20"/>
  <c r="I164" i="20"/>
  <c r="K164" i="20" s="1"/>
  <c r="J117" i="20"/>
  <c r="J30" i="20"/>
  <c r="H198" i="20"/>
  <c r="H92" i="20"/>
  <c r="J85" i="20"/>
  <c r="G307" i="20"/>
  <c r="M26" i="20"/>
  <c r="Q26" i="20" s="1"/>
  <c r="G225" i="25"/>
  <c r="M330" i="20"/>
  <c r="Q330" i="20" s="1"/>
  <c r="M228" i="20"/>
  <c r="Q228" i="20" s="1"/>
  <c r="M109" i="20"/>
  <c r="Q109" i="20" s="1"/>
  <c r="M30" i="20"/>
  <c r="Q30" i="20" s="1"/>
  <c r="M31" i="20"/>
  <c r="Q31" i="20" s="1"/>
  <c r="I172" i="25"/>
  <c r="I253" i="25"/>
  <c r="M215" i="20"/>
  <c r="Q215" i="20" s="1"/>
  <c r="M156" i="20"/>
  <c r="Q156" i="20" s="1"/>
  <c r="M97" i="20"/>
  <c r="Q97" i="20" s="1"/>
  <c r="M178" i="20"/>
  <c r="Q178" i="20" s="1"/>
  <c r="M179" i="20"/>
  <c r="Q179" i="20" s="1"/>
  <c r="M200" i="20"/>
  <c r="Q200" i="20" s="1"/>
  <c r="M181" i="20"/>
  <c r="Q181" i="20" s="1"/>
  <c r="M162" i="20"/>
  <c r="Q162" i="20" s="1"/>
  <c r="C237" i="25"/>
  <c r="C252" i="25"/>
  <c r="G74" i="20"/>
  <c r="G308" i="20"/>
  <c r="I32" i="20"/>
  <c r="K32" i="20" s="1"/>
  <c r="G92" i="20"/>
  <c r="J63" i="20"/>
  <c r="J127" i="20"/>
  <c r="H183" i="20"/>
  <c r="J169" i="20"/>
  <c r="I53" i="20"/>
  <c r="K53" i="20" s="1"/>
  <c r="J309" i="20"/>
  <c r="J48" i="20"/>
  <c r="H112" i="20"/>
  <c r="J176" i="20"/>
  <c r="J25" i="20"/>
  <c r="I105" i="20"/>
  <c r="K105" i="20" s="1"/>
  <c r="H201" i="20"/>
  <c r="J50" i="20"/>
  <c r="I106" i="20"/>
  <c r="K106" i="20" s="1"/>
  <c r="J162" i="20"/>
  <c r="H218" i="20"/>
  <c r="H109" i="20"/>
  <c r="J54" i="20"/>
  <c r="G206" i="20"/>
  <c r="I75" i="20"/>
  <c r="K75" i="20" s="1"/>
  <c r="H139" i="20"/>
  <c r="J203" i="20"/>
  <c r="J68" i="20"/>
  <c r="H164" i="20"/>
  <c r="H149" i="20"/>
  <c r="I30" i="20"/>
  <c r="K30" i="20" s="1"/>
  <c r="J222" i="20"/>
  <c r="J108" i="20"/>
  <c r="I93" i="20"/>
  <c r="K93" i="20" s="1"/>
  <c r="J62" i="20"/>
  <c r="I307" i="20"/>
  <c r="K307" i="20" s="1"/>
  <c r="M46" i="20"/>
  <c r="Q46" i="20" s="1"/>
  <c r="G245" i="25"/>
  <c r="G241" i="25"/>
  <c r="M308" i="20"/>
  <c r="Q308" i="20" s="1"/>
  <c r="M129" i="20"/>
  <c r="Q129" i="20" s="1"/>
  <c r="M50" i="20"/>
  <c r="Q50" i="20" s="1"/>
  <c r="M51" i="20"/>
  <c r="Q51" i="20" s="1"/>
  <c r="M32" i="20"/>
  <c r="Q32" i="20" s="1"/>
  <c r="I210" i="25"/>
  <c r="M235" i="20"/>
  <c r="Q235" i="20" s="1"/>
  <c r="M176" i="20"/>
  <c r="Q176" i="20" s="1"/>
  <c r="M117" i="20"/>
  <c r="Q117" i="20" s="1"/>
  <c r="M198" i="20"/>
  <c r="Q198" i="20" s="1"/>
  <c r="M199" i="20"/>
  <c r="Q199" i="20" s="1"/>
  <c r="M220" i="20"/>
  <c r="Q220" i="20" s="1"/>
  <c r="M201" i="20"/>
  <c r="Q201" i="20" s="1"/>
  <c r="M182" i="20"/>
  <c r="Q182" i="20" s="1"/>
  <c r="G203" i="25"/>
  <c r="G155" i="25"/>
  <c r="J40" i="20"/>
  <c r="I146" i="25"/>
  <c r="G86" i="20"/>
  <c r="G91" i="20"/>
  <c r="I215" i="25"/>
  <c r="G206" i="25"/>
  <c r="C200" i="25"/>
  <c r="I167" i="20"/>
  <c r="K167" i="20" s="1"/>
  <c r="G200" i="25"/>
  <c r="C169" i="25"/>
  <c r="I165" i="25"/>
  <c r="C182" i="25"/>
  <c r="C211" i="25"/>
  <c r="C210" i="25"/>
  <c r="G215" i="25"/>
  <c r="C196" i="25"/>
  <c r="I229" i="20"/>
  <c r="K229" i="20" s="1"/>
  <c r="C245" i="25"/>
  <c r="I222" i="25"/>
  <c r="I109" i="20"/>
  <c r="K109" i="20" s="1"/>
  <c r="C256" i="25"/>
  <c r="I146" i="20"/>
  <c r="K146" i="20" s="1"/>
  <c r="I145" i="20"/>
  <c r="K145" i="20" s="1"/>
  <c r="I244" i="25"/>
  <c r="G45" i="20"/>
  <c r="I143" i="25"/>
  <c r="C215" i="25"/>
  <c r="H63" i="20"/>
  <c r="I127" i="20"/>
  <c r="K127" i="20" s="1"/>
  <c r="J191" i="20"/>
  <c r="H185" i="20"/>
  <c r="H77" i="20"/>
  <c r="H309" i="20"/>
  <c r="H48" i="20"/>
  <c r="G120" i="20"/>
  <c r="I176" i="20"/>
  <c r="K176" i="20" s="1"/>
  <c r="J33" i="20"/>
  <c r="H105" i="20"/>
  <c r="J201" i="20"/>
  <c r="I50" i="20"/>
  <c r="K50" i="20" s="1"/>
  <c r="H106" i="20"/>
  <c r="H162" i="20"/>
  <c r="G226" i="20"/>
  <c r="J109" i="20"/>
  <c r="H54" i="20"/>
  <c r="J206" i="20"/>
  <c r="J83" i="20"/>
  <c r="J147" i="20"/>
  <c r="H203" i="20"/>
  <c r="H68" i="20"/>
  <c r="G180" i="20"/>
  <c r="J149" i="20"/>
  <c r="H30" i="20"/>
  <c r="I222" i="20"/>
  <c r="K222" i="20" s="1"/>
  <c r="H108" i="20"/>
  <c r="H93" i="20"/>
  <c r="H62" i="20"/>
  <c r="M66" i="20"/>
  <c r="Q66" i="20" s="1"/>
  <c r="M223" i="20"/>
  <c r="Q223" i="20" s="1"/>
  <c r="M328" i="20"/>
  <c r="Q328" i="20" s="1"/>
  <c r="M149" i="20"/>
  <c r="Q149" i="20" s="1"/>
  <c r="M70" i="20"/>
  <c r="Q70" i="20" s="1"/>
  <c r="M71" i="20"/>
  <c r="Q71" i="20" s="1"/>
  <c r="M52" i="20"/>
  <c r="Q52" i="20" s="1"/>
  <c r="I168" i="25"/>
  <c r="G233" i="25"/>
  <c r="M315" i="20"/>
  <c r="Q315" i="20" s="1"/>
  <c r="M196" i="20"/>
  <c r="Q196" i="20" s="1"/>
  <c r="M137" i="20"/>
  <c r="Q137" i="20" s="1"/>
  <c r="M218" i="20"/>
  <c r="Q218" i="20" s="1"/>
  <c r="M219" i="20"/>
  <c r="Q219" i="20" s="1"/>
  <c r="M320" i="20"/>
  <c r="Q320" i="20" s="1"/>
  <c r="M221" i="20"/>
  <c r="Q221" i="20" s="1"/>
  <c r="M202" i="20"/>
  <c r="Q202" i="20" s="1"/>
  <c r="M25" i="20"/>
  <c r="Q25" i="20" s="1"/>
  <c r="C203" i="25"/>
  <c r="I77" i="20"/>
  <c r="K77" i="20" s="1"/>
  <c r="G252" i="25"/>
  <c r="C143" i="25"/>
  <c r="J153" i="20"/>
  <c r="I202" i="25"/>
  <c r="G126" i="20"/>
  <c r="G168" i="25"/>
  <c r="I112" i="20"/>
  <c r="K112" i="20" s="1"/>
  <c r="I157" i="20"/>
  <c r="K157" i="20" s="1"/>
  <c r="I219" i="25"/>
  <c r="C205" i="25"/>
  <c r="G174" i="20"/>
  <c r="I163" i="20"/>
  <c r="K163" i="20" s="1"/>
  <c r="C148" i="25"/>
  <c r="G95" i="20"/>
  <c r="G130" i="20"/>
  <c r="G169" i="25"/>
  <c r="G85" i="20"/>
  <c r="C161" i="25"/>
  <c r="I213" i="25"/>
  <c r="I161" i="25"/>
  <c r="G139" i="20"/>
  <c r="I233" i="20"/>
  <c r="K233" i="20" s="1"/>
  <c r="G246" i="25"/>
  <c r="I226" i="25"/>
  <c r="I152" i="25"/>
  <c r="G151" i="25"/>
  <c r="G157" i="25"/>
  <c r="I148" i="20"/>
  <c r="K148" i="20" s="1"/>
  <c r="I230" i="20"/>
  <c r="K230" i="20" s="1"/>
  <c r="I40" i="20"/>
  <c r="K40" i="20" s="1"/>
  <c r="I220" i="25"/>
  <c r="J71" i="20"/>
  <c r="H127" i="20"/>
  <c r="H191" i="20"/>
  <c r="J185" i="20"/>
  <c r="J77" i="20"/>
  <c r="G190" i="20"/>
  <c r="G48" i="20"/>
  <c r="J120" i="20"/>
  <c r="H176" i="20"/>
  <c r="H33" i="20"/>
  <c r="J105" i="20"/>
  <c r="G201" i="20"/>
  <c r="H50" i="20"/>
  <c r="G114" i="20"/>
  <c r="J170" i="20"/>
  <c r="J226" i="20"/>
  <c r="G109" i="20"/>
  <c r="J78" i="20"/>
  <c r="H206" i="20"/>
  <c r="J27" i="20"/>
  <c r="H83" i="20"/>
  <c r="H147" i="20"/>
  <c r="J211" i="20"/>
  <c r="G84" i="20"/>
  <c r="J180" i="20"/>
  <c r="H189" i="20"/>
  <c r="J70" i="20"/>
  <c r="H222" i="20"/>
  <c r="G132" i="20"/>
  <c r="J93" i="20"/>
  <c r="J142" i="20"/>
  <c r="G304" i="20"/>
  <c r="I308" i="20"/>
  <c r="K308" i="20" s="1"/>
  <c r="M86" i="20"/>
  <c r="Q86" i="20" s="1"/>
  <c r="M184" i="20"/>
  <c r="Q184" i="20" s="1"/>
  <c r="M332" i="20"/>
  <c r="Q332" i="20" s="1"/>
  <c r="M169" i="20"/>
  <c r="Q169" i="20" s="1"/>
  <c r="M90" i="20"/>
  <c r="Q90" i="20" s="1"/>
  <c r="M91" i="20"/>
  <c r="Q91" i="20" s="1"/>
  <c r="M72" i="20"/>
  <c r="Q72" i="20" s="1"/>
  <c r="G185" i="25"/>
  <c r="I254" i="25"/>
  <c r="M316" i="20"/>
  <c r="Q316" i="20" s="1"/>
  <c r="M216" i="20"/>
  <c r="Q216" i="20" s="1"/>
  <c r="M123" i="20"/>
  <c r="Q123" i="20" s="1"/>
  <c r="M318" i="20"/>
  <c r="Q318" i="20" s="1"/>
  <c r="M319" i="20"/>
  <c r="Q319" i="20" s="1"/>
  <c r="M183" i="20"/>
  <c r="Q183" i="20" s="1"/>
  <c r="M163" i="20"/>
  <c r="Q163" i="20" s="1"/>
  <c r="M222" i="20"/>
  <c r="Q222" i="20" s="1"/>
  <c r="M45" i="20"/>
  <c r="Q45" i="20" s="1"/>
  <c r="C181" i="25"/>
  <c r="G81" i="20"/>
  <c r="I191" i="25"/>
  <c r="H111" i="20"/>
  <c r="G169" i="20"/>
  <c r="G201" i="25"/>
  <c r="G205" i="25"/>
  <c r="C259" i="25"/>
  <c r="G242" i="25"/>
  <c r="I218" i="25"/>
  <c r="G193" i="25"/>
  <c r="C202" i="25"/>
  <c r="G149" i="25"/>
  <c r="C204" i="25"/>
  <c r="C137" i="25"/>
  <c r="I182" i="25"/>
  <c r="C188" i="25"/>
  <c r="I177" i="25"/>
  <c r="I113" i="20"/>
  <c r="K113" i="20" s="1"/>
  <c r="G162" i="25"/>
  <c r="I185" i="20"/>
  <c r="K185" i="20" s="1"/>
  <c r="I68" i="20"/>
  <c r="K68" i="20" s="1"/>
  <c r="I196" i="25"/>
  <c r="I237" i="20"/>
  <c r="K237" i="20" s="1"/>
  <c r="I248" i="25"/>
  <c r="I230" i="25"/>
  <c r="I155" i="25"/>
  <c r="G190" i="25"/>
  <c r="G309" i="20"/>
  <c r="G253" i="25"/>
  <c r="I208" i="25"/>
  <c r="G49" i="20"/>
  <c r="I44" i="20"/>
  <c r="K44" i="20" s="1"/>
  <c r="C242" i="25"/>
  <c r="I211" i="25"/>
  <c r="H71" i="20"/>
  <c r="J135" i="20"/>
  <c r="J199" i="20"/>
  <c r="H209" i="20"/>
  <c r="H101" i="20"/>
  <c r="J190" i="20"/>
  <c r="J56" i="20"/>
  <c r="H120" i="20"/>
  <c r="J184" i="20"/>
  <c r="H41" i="20"/>
  <c r="H113" i="20"/>
  <c r="I217" i="20"/>
  <c r="K217" i="20" s="1"/>
  <c r="J58" i="20"/>
  <c r="J114" i="20"/>
  <c r="H170" i="20"/>
  <c r="H226" i="20"/>
  <c r="I141" i="20"/>
  <c r="K141" i="20" s="1"/>
  <c r="H78" i="20"/>
  <c r="G230" i="20"/>
  <c r="H27" i="20"/>
  <c r="J91" i="20"/>
  <c r="G147" i="20"/>
  <c r="H211" i="20"/>
  <c r="J307" i="20"/>
  <c r="J84" i="20"/>
  <c r="I180" i="20"/>
  <c r="K180" i="20" s="1"/>
  <c r="J189" i="20"/>
  <c r="H70" i="20"/>
  <c r="J132" i="20"/>
  <c r="H133" i="20"/>
  <c r="I142" i="20"/>
  <c r="K142" i="20" s="1"/>
  <c r="M106" i="20"/>
  <c r="Q106" i="20" s="1"/>
  <c r="I203" i="25"/>
  <c r="G179" i="25"/>
  <c r="M237" i="20"/>
  <c r="Q237" i="20" s="1"/>
  <c r="M189" i="20"/>
  <c r="Q189" i="20" s="1"/>
  <c r="M110" i="20"/>
  <c r="Q110" i="20" s="1"/>
  <c r="M111" i="20"/>
  <c r="Q111" i="20" s="1"/>
  <c r="M92" i="20"/>
  <c r="Q92" i="20" s="1"/>
  <c r="M33" i="20"/>
  <c r="Q33" i="20" s="1"/>
  <c r="G211" i="25"/>
  <c r="M157" i="20"/>
  <c r="Q157" i="20" s="1"/>
  <c r="M236" i="20"/>
  <c r="Q236" i="20" s="1"/>
  <c r="M84" i="20"/>
  <c r="Q84" i="20" s="1"/>
  <c r="M144" i="20"/>
  <c r="Q144" i="20" s="1"/>
  <c r="M63" i="20"/>
  <c r="Q63" i="20" s="1"/>
  <c r="M325" i="20"/>
  <c r="Q325" i="20" s="1"/>
  <c r="M164" i="20"/>
  <c r="Q164" i="20" s="1"/>
  <c r="M65" i="20"/>
  <c r="Q65" i="20" s="1"/>
  <c r="G69" i="20"/>
  <c r="I84" i="20"/>
  <c r="K84" i="20" s="1"/>
  <c r="I72" i="20"/>
  <c r="K72" i="20" s="1"/>
  <c r="G216" i="25"/>
  <c r="I139" i="20"/>
  <c r="K139" i="20" s="1"/>
  <c r="I252" i="25"/>
  <c r="I234" i="25"/>
  <c r="I159" i="25"/>
  <c r="G154" i="25"/>
  <c r="G158" i="20"/>
  <c r="I314" i="20"/>
  <c r="K314" i="20" s="1"/>
  <c r="I138" i="20"/>
  <c r="K138" i="20" s="1"/>
  <c r="I131" i="20"/>
  <c r="K131" i="20" s="1"/>
  <c r="I33" i="20"/>
  <c r="K33" i="20" s="1"/>
  <c r="I48" i="20"/>
  <c r="K48" i="20" s="1"/>
  <c r="C222" i="25"/>
  <c r="I71" i="20"/>
  <c r="K71" i="20" s="1"/>
  <c r="H135" i="20"/>
  <c r="I199" i="20"/>
  <c r="K199" i="20" s="1"/>
  <c r="J209" i="20"/>
  <c r="I101" i="20"/>
  <c r="K101" i="20" s="1"/>
  <c r="H190" i="20"/>
  <c r="H56" i="20"/>
  <c r="J128" i="20"/>
  <c r="H184" i="20"/>
  <c r="G41" i="20"/>
  <c r="J113" i="20"/>
  <c r="H217" i="20"/>
  <c r="H58" i="20"/>
  <c r="H114" i="20"/>
  <c r="G178" i="20"/>
  <c r="G234" i="20"/>
  <c r="H141" i="20"/>
  <c r="J86" i="20"/>
  <c r="J230" i="20"/>
  <c r="I27" i="20"/>
  <c r="K27" i="20" s="1"/>
  <c r="H91" i="20"/>
  <c r="J155" i="20"/>
  <c r="J219" i="20"/>
  <c r="H307" i="20"/>
  <c r="H84" i="20"/>
  <c r="H180" i="20"/>
  <c r="G189" i="20"/>
  <c r="J94" i="20"/>
  <c r="H132" i="20"/>
  <c r="J133" i="20"/>
  <c r="H142" i="20"/>
  <c r="M126" i="20"/>
  <c r="Q126" i="20" s="1"/>
  <c r="M322" i="20"/>
  <c r="Q322" i="20" s="1"/>
  <c r="M209" i="20"/>
  <c r="Q209" i="20" s="1"/>
  <c r="M130" i="20"/>
  <c r="Q130" i="20" s="1"/>
  <c r="M131" i="20"/>
  <c r="Q131" i="20" s="1"/>
  <c r="M112" i="20"/>
  <c r="Q112" i="20" s="1"/>
  <c r="M53" i="20"/>
  <c r="Q53" i="20" s="1"/>
  <c r="G236" i="25"/>
  <c r="M305" i="20"/>
  <c r="Q305" i="20" s="1"/>
  <c r="M323" i="20"/>
  <c r="Q323" i="20" s="1"/>
  <c r="G219" i="25"/>
  <c r="G220" i="25"/>
  <c r="M85" i="20"/>
  <c r="Q85" i="20" s="1"/>
  <c r="I181" i="25"/>
  <c r="G168" i="20"/>
  <c r="C166" i="25"/>
  <c r="I185" i="25"/>
  <c r="G183" i="25"/>
  <c r="C162" i="25"/>
  <c r="G73" i="20"/>
  <c r="I76" i="20"/>
  <c r="K76" i="20" s="1"/>
  <c r="G167" i="25"/>
  <c r="I216" i="25"/>
  <c r="I256" i="25"/>
  <c r="I238" i="25"/>
  <c r="C220" i="25"/>
  <c r="C157" i="25"/>
  <c r="G208" i="25"/>
  <c r="G318" i="20"/>
  <c r="I304" i="20"/>
  <c r="K304" i="20" s="1"/>
  <c r="I179" i="25"/>
  <c r="I37" i="20"/>
  <c r="K37" i="20" s="1"/>
  <c r="I236" i="25"/>
  <c r="I224" i="25"/>
  <c r="J79" i="20"/>
  <c r="J143" i="20"/>
  <c r="H199" i="20"/>
  <c r="G209" i="20"/>
  <c r="J101" i="20"/>
  <c r="J64" i="20"/>
  <c r="I128" i="20"/>
  <c r="K128" i="20" s="1"/>
  <c r="G192" i="20"/>
  <c r="J41" i="20"/>
  <c r="H121" i="20"/>
  <c r="J217" i="20"/>
  <c r="J305" i="20"/>
  <c r="J66" i="20"/>
  <c r="G122" i="20"/>
  <c r="J178" i="20"/>
  <c r="J234" i="20"/>
  <c r="J141" i="20"/>
  <c r="I86" i="20"/>
  <c r="K86" i="20" s="1"/>
  <c r="H230" i="20"/>
  <c r="J35" i="20"/>
  <c r="J99" i="20"/>
  <c r="I155" i="20"/>
  <c r="K155" i="20" s="1"/>
  <c r="H219" i="20"/>
  <c r="J100" i="20"/>
  <c r="G196" i="20"/>
  <c r="I221" i="20"/>
  <c r="K221" i="20" s="1"/>
  <c r="I94" i="20"/>
  <c r="K94" i="20" s="1"/>
  <c r="G148" i="20"/>
  <c r="G133" i="20"/>
  <c r="J174" i="20"/>
  <c r="M146" i="20"/>
  <c r="Q146" i="20" s="1"/>
  <c r="M203" i="20"/>
  <c r="Q203" i="20" s="1"/>
  <c r="M229" i="20"/>
  <c r="Q229" i="20" s="1"/>
  <c r="M150" i="20"/>
  <c r="Q150" i="20" s="1"/>
  <c r="M151" i="20"/>
  <c r="Q151" i="20" s="1"/>
  <c r="M132" i="20"/>
  <c r="Q132" i="20" s="1"/>
  <c r="M73" i="20"/>
  <c r="Q73" i="20" s="1"/>
  <c r="I201" i="25"/>
  <c r="I257" i="25"/>
  <c r="G237" i="25"/>
  <c r="G196" i="25"/>
  <c r="G239" i="25"/>
  <c r="G240" i="25"/>
  <c r="I137" i="25"/>
  <c r="M105" i="20"/>
  <c r="Q105" i="20" s="1"/>
  <c r="I153" i="25"/>
  <c r="G228" i="20"/>
  <c r="I242" i="25"/>
  <c r="C224" i="25"/>
  <c r="G158" i="25"/>
  <c r="G88" i="20"/>
  <c r="I323" i="20"/>
  <c r="K323" i="20" s="1"/>
  <c r="I41" i="20"/>
  <c r="K41" i="20" s="1"/>
  <c r="G249" i="25"/>
  <c r="I258" i="25"/>
  <c r="I240" i="25"/>
  <c r="H79" i="20"/>
  <c r="H143" i="20"/>
  <c r="J207" i="20"/>
  <c r="I225" i="20"/>
  <c r="K225" i="20" s="1"/>
  <c r="H125" i="20"/>
  <c r="H64" i="20"/>
  <c r="H128" i="20"/>
  <c r="J192" i="20"/>
  <c r="J49" i="20"/>
  <c r="J121" i="20"/>
  <c r="H233" i="20"/>
  <c r="H305" i="20"/>
  <c r="H66" i="20"/>
  <c r="J122" i="20"/>
  <c r="H178" i="20"/>
  <c r="H234" i="20"/>
  <c r="I173" i="20"/>
  <c r="K173" i="20" s="1"/>
  <c r="H86" i="20"/>
  <c r="G35" i="20"/>
  <c r="I99" i="20"/>
  <c r="K99" i="20" s="1"/>
  <c r="H155" i="20"/>
  <c r="J227" i="20"/>
  <c r="H100" i="20"/>
  <c r="J196" i="20"/>
  <c r="H221" i="20"/>
  <c r="H94" i="20"/>
  <c r="J148" i="20"/>
  <c r="H165" i="20"/>
  <c r="H174" i="20"/>
  <c r="G305" i="20"/>
  <c r="I309" i="20"/>
  <c r="K309" i="20" s="1"/>
  <c r="M166" i="20"/>
  <c r="Q166" i="20" s="1"/>
  <c r="M27" i="20"/>
  <c r="Q27" i="20" s="1"/>
  <c r="G202" i="25"/>
  <c r="M309" i="20"/>
  <c r="Q309" i="20" s="1"/>
  <c r="M170" i="20"/>
  <c r="Q170" i="20" s="1"/>
  <c r="M171" i="20"/>
  <c r="Q171" i="20" s="1"/>
  <c r="M152" i="20"/>
  <c r="Q152" i="20" s="1"/>
  <c r="M93" i="20"/>
  <c r="Q93" i="20" s="1"/>
  <c r="I200" i="25"/>
  <c r="M303" i="20"/>
  <c r="Q303" i="20" s="1"/>
  <c r="I163" i="25"/>
  <c r="G258" i="25"/>
  <c r="I193" i="25"/>
  <c r="G174" i="25"/>
  <c r="M104" i="20"/>
  <c r="Q104" i="20" s="1"/>
  <c r="F69" i="12"/>
  <c r="F48" i="12"/>
  <c r="F27" i="12"/>
  <c r="F26" i="11"/>
  <c r="F60" i="10"/>
  <c r="F39" i="10"/>
  <c r="F61" i="9"/>
  <c r="F41" i="9"/>
  <c r="F20" i="9"/>
  <c r="F48" i="8"/>
  <c r="F26" i="8"/>
  <c r="F259" i="25"/>
  <c r="H252" i="25"/>
  <c r="J244" i="25"/>
  <c r="F238" i="25"/>
  <c r="H231" i="25"/>
  <c r="J224" i="25"/>
  <c r="F218" i="25"/>
  <c r="H209" i="25"/>
  <c r="J201" i="25"/>
  <c r="F194" i="25"/>
  <c r="J178" i="25"/>
  <c r="F171" i="25"/>
  <c r="J154" i="25"/>
  <c r="H138" i="25"/>
  <c r="J184" i="25"/>
  <c r="F154" i="25"/>
  <c r="H230" i="25"/>
  <c r="H184" i="25"/>
  <c r="H161" i="25"/>
  <c r="F184" i="25"/>
  <c r="J144" i="25"/>
  <c r="F243" i="25"/>
  <c r="F200" i="25"/>
  <c r="J159" i="25"/>
  <c r="J194" i="25"/>
  <c r="F68" i="12"/>
  <c r="F47" i="12"/>
  <c r="F26" i="12"/>
  <c r="F25" i="11"/>
  <c r="F59" i="10"/>
  <c r="F38" i="10"/>
  <c r="F60" i="9"/>
  <c r="F40" i="9"/>
  <c r="F47" i="8"/>
  <c r="F25" i="8"/>
  <c r="J258" i="25"/>
  <c r="F252" i="25"/>
  <c r="H244" i="25"/>
  <c r="J237" i="25"/>
  <c r="F231" i="25"/>
  <c r="H224" i="25"/>
  <c r="J216" i="25"/>
  <c r="F209" i="25"/>
  <c r="H201" i="25"/>
  <c r="J193" i="25"/>
  <c r="F185" i="25"/>
  <c r="H178" i="25"/>
  <c r="J169" i="25"/>
  <c r="F162" i="25"/>
  <c r="H154" i="25"/>
  <c r="J146" i="25"/>
  <c r="F138" i="25"/>
  <c r="F178" i="25"/>
  <c r="H146" i="25"/>
  <c r="J223" i="25"/>
  <c r="J177" i="25"/>
  <c r="H137" i="25"/>
  <c r="F161" i="25"/>
  <c r="J250" i="25"/>
  <c r="H168" i="25"/>
  <c r="J238" i="25"/>
  <c r="F67" i="12"/>
  <c r="F46" i="12"/>
  <c r="F25" i="12"/>
  <c r="F24" i="11"/>
  <c r="F58" i="10"/>
  <c r="F37" i="10"/>
  <c r="F59" i="9"/>
  <c r="F39" i="9"/>
  <c r="F67" i="8"/>
  <c r="F46" i="8"/>
  <c r="F24" i="8"/>
  <c r="H258" i="25"/>
  <c r="J251" i="25"/>
  <c r="F244" i="25"/>
  <c r="H237" i="25"/>
  <c r="J230" i="25"/>
  <c r="F224" i="25"/>
  <c r="H216" i="25"/>
  <c r="J208" i="25"/>
  <c r="H193" i="25"/>
  <c r="H169" i="25"/>
  <c r="J137" i="25"/>
  <c r="H208" i="25"/>
  <c r="F169" i="25"/>
  <c r="J168" i="25"/>
  <c r="H236" i="25"/>
  <c r="F177" i="25"/>
  <c r="F152" i="25"/>
  <c r="H225" i="25"/>
  <c r="F66" i="12"/>
  <c r="F45" i="12"/>
  <c r="F24" i="12"/>
  <c r="F23" i="11"/>
  <c r="F57" i="10"/>
  <c r="F36" i="10"/>
  <c r="F58" i="9"/>
  <c r="F37" i="9"/>
  <c r="F66" i="8"/>
  <c r="F45" i="8"/>
  <c r="F23" i="8"/>
  <c r="F258" i="25"/>
  <c r="H251" i="25"/>
  <c r="J243" i="25"/>
  <c r="F237" i="25"/>
  <c r="F216" i="25"/>
  <c r="F193" i="25"/>
  <c r="F146" i="25"/>
  <c r="F137" i="25"/>
  <c r="F223" i="25"/>
  <c r="H191" i="25"/>
  <c r="H144" i="25"/>
  <c r="F139" i="25"/>
  <c r="F65" i="12"/>
  <c r="F44" i="12"/>
  <c r="F23" i="12"/>
  <c r="F22" i="11"/>
  <c r="F56" i="10"/>
  <c r="F35" i="10"/>
  <c r="F57" i="9"/>
  <c r="F36" i="9"/>
  <c r="F65" i="8"/>
  <c r="F44" i="8"/>
  <c r="F22" i="8"/>
  <c r="J257" i="25"/>
  <c r="F251" i="25"/>
  <c r="H243" i="25"/>
  <c r="J236" i="25"/>
  <c r="F230" i="25"/>
  <c r="H223" i="25"/>
  <c r="J215" i="25"/>
  <c r="F208" i="25"/>
  <c r="H200" i="25"/>
  <c r="J191" i="25"/>
  <c r="H177" i="25"/>
  <c r="H257" i="25"/>
  <c r="J206" i="25"/>
  <c r="F153" i="25"/>
  <c r="J171" i="25"/>
  <c r="F85" i="12"/>
  <c r="F64" i="12"/>
  <c r="F43" i="12"/>
  <c r="F21" i="11"/>
  <c r="F55" i="10"/>
  <c r="F33" i="10"/>
  <c r="F56" i="9"/>
  <c r="F35" i="9"/>
  <c r="F64" i="8"/>
  <c r="F43" i="8"/>
  <c r="H215" i="25"/>
  <c r="J136" i="25"/>
  <c r="J147" i="25"/>
  <c r="F84" i="12"/>
  <c r="F63" i="12"/>
  <c r="F42" i="12"/>
  <c r="F20" i="11"/>
  <c r="F54" i="10"/>
  <c r="F32" i="10"/>
  <c r="F55" i="9"/>
  <c r="F34" i="9"/>
  <c r="F63" i="8"/>
  <c r="F42" i="8"/>
  <c r="F257" i="25"/>
  <c r="H250" i="25"/>
  <c r="J242" i="25"/>
  <c r="F236" i="25"/>
  <c r="H229" i="25"/>
  <c r="J222" i="25"/>
  <c r="F215" i="25"/>
  <c r="H206" i="25"/>
  <c r="J198" i="25"/>
  <c r="F191" i="25"/>
  <c r="H183" i="25"/>
  <c r="J176" i="25"/>
  <c r="F168" i="25"/>
  <c r="H159" i="25"/>
  <c r="J152" i="25"/>
  <c r="F144" i="25"/>
  <c r="H136" i="25"/>
  <c r="H143" i="25"/>
  <c r="F83" i="12"/>
  <c r="F61" i="12"/>
  <c r="F41" i="12"/>
  <c r="F53" i="10"/>
  <c r="F31" i="10"/>
  <c r="F54" i="9"/>
  <c r="F33" i="9"/>
  <c r="F62" i="8"/>
  <c r="F41" i="8"/>
  <c r="J256" i="25"/>
  <c r="F250" i="25"/>
  <c r="H242" i="25"/>
  <c r="J235" i="25"/>
  <c r="F229" i="25"/>
  <c r="H222" i="25"/>
  <c r="J214" i="25"/>
  <c r="F206" i="25"/>
  <c r="H198" i="25"/>
  <c r="J190" i="25"/>
  <c r="F183" i="25"/>
  <c r="H176" i="25"/>
  <c r="J167" i="25"/>
  <c r="F159" i="25"/>
  <c r="H152" i="25"/>
  <c r="J143" i="25"/>
  <c r="F136" i="25"/>
  <c r="H167" i="25"/>
  <c r="F163" i="25"/>
  <c r="F82" i="12"/>
  <c r="F60" i="12"/>
  <c r="F40" i="12"/>
  <c r="F74" i="10"/>
  <c r="F52" i="10"/>
  <c r="F30" i="10"/>
  <c r="F53" i="9"/>
  <c r="F32" i="9"/>
  <c r="F61" i="8"/>
  <c r="F40" i="8"/>
  <c r="H256" i="25"/>
  <c r="J249" i="25"/>
  <c r="F242" i="25"/>
  <c r="H235" i="25"/>
  <c r="J228" i="25"/>
  <c r="F222" i="25"/>
  <c r="H214" i="25"/>
  <c r="J205" i="25"/>
  <c r="F198" i="25"/>
  <c r="H190" i="25"/>
  <c r="J182" i="25"/>
  <c r="F176" i="25"/>
  <c r="J158" i="25"/>
  <c r="H179" i="25"/>
  <c r="F81" i="12"/>
  <c r="F59" i="12"/>
  <c r="F39" i="12"/>
  <c r="F37" i="11"/>
  <c r="F73" i="10"/>
  <c r="F50" i="10"/>
  <c r="F29" i="10"/>
  <c r="F52" i="9"/>
  <c r="F31" i="9"/>
  <c r="F60" i="8"/>
  <c r="F39" i="8"/>
  <c r="F256" i="25"/>
  <c r="H249" i="25"/>
  <c r="J241" i="25"/>
  <c r="F235" i="25"/>
  <c r="H228" i="25"/>
  <c r="J221" i="25"/>
  <c r="F214" i="25"/>
  <c r="H205" i="25"/>
  <c r="J197" i="25"/>
  <c r="F190" i="25"/>
  <c r="H182" i="25"/>
  <c r="J175" i="25"/>
  <c r="F167" i="25"/>
  <c r="H158" i="25"/>
  <c r="J151" i="25"/>
  <c r="F143" i="25"/>
  <c r="F196" i="25"/>
  <c r="H140" i="25"/>
  <c r="F21" i="10"/>
  <c r="H253" i="25"/>
  <c r="F195" i="25"/>
  <c r="J155" i="25"/>
  <c r="F50" i="12"/>
  <c r="F41" i="10"/>
  <c r="F28" i="8"/>
  <c r="H245" i="25"/>
  <c r="F80" i="12"/>
  <c r="F58" i="12"/>
  <c r="F38" i="12"/>
  <c r="F36" i="11"/>
  <c r="F72" i="10"/>
  <c r="F49" i="10"/>
  <c r="F28" i="10"/>
  <c r="F51" i="9"/>
  <c r="F30" i="9"/>
  <c r="F59" i="8"/>
  <c r="F38" i="8"/>
  <c r="J255" i="25"/>
  <c r="F249" i="25"/>
  <c r="H241" i="25"/>
  <c r="J234" i="25"/>
  <c r="F228" i="25"/>
  <c r="H221" i="25"/>
  <c r="J213" i="25"/>
  <c r="F205" i="25"/>
  <c r="H197" i="25"/>
  <c r="J188" i="25"/>
  <c r="F182" i="25"/>
  <c r="H175" i="25"/>
  <c r="J166" i="25"/>
  <c r="F158" i="25"/>
  <c r="H151" i="25"/>
  <c r="J141" i="25"/>
  <c r="F188" i="25"/>
  <c r="J174" i="25"/>
  <c r="J149" i="25"/>
  <c r="F181" i="25"/>
  <c r="H149" i="25"/>
  <c r="J203" i="25"/>
  <c r="H165" i="25"/>
  <c r="F64" i="10"/>
  <c r="J202" i="25"/>
  <c r="F186" i="25"/>
  <c r="F79" i="12"/>
  <c r="F57" i="12"/>
  <c r="F37" i="12"/>
  <c r="F35" i="11"/>
  <c r="F71" i="10"/>
  <c r="F48" i="10"/>
  <c r="F27" i="10"/>
  <c r="F50" i="9"/>
  <c r="F29" i="9"/>
  <c r="F58" i="8"/>
  <c r="F37" i="8"/>
  <c r="H255" i="25"/>
  <c r="J248" i="25"/>
  <c r="F241" i="25"/>
  <c r="H234" i="25"/>
  <c r="J227" i="25"/>
  <c r="F221" i="25"/>
  <c r="H213" i="25"/>
  <c r="J204" i="25"/>
  <c r="F197" i="25"/>
  <c r="H188" i="25"/>
  <c r="J181" i="25"/>
  <c r="F175" i="25"/>
  <c r="H166" i="25"/>
  <c r="J157" i="25"/>
  <c r="F151" i="25"/>
  <c r="H141" i="25"/>
  <c r="J196" i="25"/>
  <c r="F166" i="25"/>
  <c r="F141" i="25"/>
  <c r="J187" i="25"/>
  <c r="F157" i="25"/>
  <c r="H211" i="25"/>
  <c r="J156" i="25"/>
  <c r="F29" i="11"/>
  <c r="F219" i="25"/>
  <c r="H163" i="25"/>
  <c r="F62" i="10"/>
  <c r="F22" i="9"/>
  <c r="J218" i="25"/>
  <c r="F78" i="12"/>
  <c r="F56" i="12"/>
  <c r="F36" i="12"/>
  <c r="F34" i="11"/>
  <c r="F70" i="10"/>
  <c r="F47" i="10"/>
  <c r="F26" i="10"/>
  <c r="F49" i="9"/>
  <c r="F28" i="9"/>
  <c r="F57" i="8"/>
  <c r="F36" i="8"/>
  <c r="F255" i="25"/>
  <c r="H248" i="25"/>
  <c r="J240" i="25"/>
  <c r="F234" i="25"/>
  <c r="H227" i="25"/>
  <c r="J220" i="25"/>
  <c r="F213" i="25"/>
  <c r="H204" i="25"/>
  <c r="H181" i="25"/>
  <c r="H157" i="25"/>
  <c r="J140" i="25"/>
  <c r="H187" i="25"/>
  <c r="F149" i="25"/>
  <c r="F42" i="10"/>
  <c r="J225" i="25"/>
  <c r="F172" i="25"/>
  <c r="F29" i="12"/>
  <c r="F43" i="9"/>
  <c r="J259" i="25"/>
  <c r="F77" i="12"/>
  <c r="F55" i="12"/>
  <c r="F35" i="12"/>
  <c r="F33" i="11"/>
  <c r="F69" i="10"/>
  <c r="F46" i="10"/>
  <c r="F25" i="10"/>
  <c r="F48" i="9"/>
  <c r="F27" i="9"/>
  <c r="F56" i="8"/>
  <c r="F34" i="8"/>
  <c r="J254" i="25"/>
  <c r="F248" i="25"/>
  <c r="H240" i="25"/>
  <c r="J233" i="25"/>
  <c r="F227" i="25"/>
  <c r="H220" i="25"/>
  <c r="J211" i="25"/>
  <c r="F204" i="25"/>
  <c r="H196" i="25"/>
  <c r="H174" i="25"/>
  <c r="J165" i="25"/>
  <c r="F174" i="25"/>
  <c r="F51" i="12"/>
  <c r="H186" i="25"/>
  <c r="F71" i="12"/>
  <c r="F253" i="25"/>
  <c r="F76" i="12"/>
  <c r="F54" i="12"/>
  <c r="F34" i="12"/>
  <c r="F32" i="11"/>
  <c r="F67" i="10"/>
  <c r="F45" i="10"/>
  <c r="F24" i="10"/>
  <c r="F47" i="9"/>
  <c r="F26" i="9"/>
  <c r="F55" i="8"/>
  <c r="F33" i="8"/>
  <c r="H254" i="25"/>
  <c r="J246" i="25"/>
  <c r="F240" i="25"/>
  <c r="H233" i="25"/>
  <c r="J226" i="25"/>
  <c r="F220" i="25"/>
  <c r="J180" i="25"/>
  <c r="F23" i="9"/>
  <c r="H232" i="25"/>
  <c r="H139" i="25"/>
  <c r="F210" i="25"/>
  <c r="F74" i="12"/>
  <c r="F53" i="12"/>
  <c r="F33" i="12"/>
  <c r="F31" i="11"/>
  <c r="F66" i="10"/>
  <c r="F44" i="10"/>
  <c r="F23" i="10"/>
  <c r="F46" i="9"/>
  <c r="F25" i="9"/>
  <c r="F54" i="8"/>
  <c r="F32" i="8"/>
  <c r="F254" i="25"/>
  <c r="H246" i="25"/>
  <c r="J239" i="25"/>
  <c r="F233" i="25"/>
  <c r="H226" i="25"/>
  <c r="J219" i="25"/>
  <c r="F211" i="25"/>
  <c r="H203" i="25"/>
  <c r="J195" i="25"/>
  <c r="F187" i="25"/>
  <c r="H180" i="25"/>
  <c r="J172" i="25"/>
  <c r="F165" i="25"/>
  <c r="H156" i="25"/>
  <c r="J148" i="25"/>
  <c r="F140" i="25"/>
  <c r="F30" i="12"/>
  <c r="F51" i="8"/>
  <c r="F239" i="25"/>
  <c r="F232" i="25"/>
  <c r="F73" i="12"/>
  <c r="F52" i="12"/>
  <c r="F31" i="12"/>
  <c r="F30" i="11"/>
  <c r="F65" i="10"/>
  <c r="F43" i="10"/>
  <c r="F22" i="10"/>
  <c r="F45" i="9"/>
  <c r="F24" i="9"/>
  <c r="F53" i="8"/>
  <c r="F31" i="8"/>
  <c r="J253" i="25"/>
  <c r="F246" i="25"/>
  <c r="H239" i="25"/>
  <c r="J232" i="25"/>
  <c r="F226" i="25"/>
  <c r="H219" i="25"/>
  <c r="J210" i="25"/>
  <c r="F203" i="25"/>
  <c r="H195" i="25"/>
  <c r="J186" i="25"/>
  <c r="F180" i="25"/>
  <c r="H172" i="25"/>
  <c r="J163" i="25"/>
  <c r="F156" i="25"/>
  <c r="H148" i="25"/>
  <c r="J139" i="25"/>
  <c r="F72" i="12"/>
  <c r="F44" i="9"/>
  <c r="F30" i="8"/>
  <c r="J245" i="25"/>
  <c r="H210" i="25"/>
  <c r="J179" i="25"/>
  <c r="F148" i="25"/>
  <c r="F28" i="11"/>
  <c r="F20" i="10"/>
  <c r="F50" i="8"/>
  <c r="H202" i="25"/>
  <c r="F70" i="12"/>
  <c r="F49" i="12"/>
  <c r="F28" i="12"/>
  <c r="F27" i="11"/>
  <c r="F61" i="10"/>
  <c r="F40" i="10"/>
  <c r="F42" i="9"/>
  <c r="F21" i="9"/>
  <c r="F49" i="8"/>
  <c r="F27" i="8"/>
  <c r="H259" i="25"/>
  <c r="J252" i="25"/>
  <c r="F245" i="25"/>
  <c r="H238" i="25"/>
  <c r="J231" i="25"/>
  <c r="F225" i="25"/>
  <c r="H218" i="25"/>
  <c r="J209" i="25"/>
  <c r="F202" i="25"/>
  <c r="H194" i="25"/>
  <c r="J185" i="25"/>
  <c r="F179" i="25"/>
  <c r="H171" i="25"/>
  <c r="J162" i="25"/>
  <c r="F155" i="25"/>
  <c r="H147" i="25"/>
  <c r="J138" i="25"/>
  <c r="H185" i="25"/>
  <c r="H162" i="25"/>
  <c r="F147" i="25"/>
  <c r="F201" i="25"/>
  <c r="J161" i="25"/>
  <c r="J200" i="25"/>
  <c r="J153" i="25"/>
  <c r="H153" i="25"/>
  <c r="J229" i="25"/>
  <c r="J183" i="25"/>
  <c r="H155" i="25"/>
  <c r="E191" i="25"/>
  <c r="E190" i="25"/>
  <c r="C214" i="25"/>
  <c r="I174" i="20"/>
  <c r="K174" i="20" s="1"/>
  <c r="G87" i="20"/>
  <c r="I188" i="25"/>
  <c r="C216" i="25"/>
  <c r="C155" i="25"/>
  <c r="I156" i="25"/>
  <c r="I246" i="25"/>
  <c r="C228" i="25"/>
  <c r="C249" i="25"/>
  <c r="C156" i="25"/>
  <c r="H320" i="20"/>
  <c r="I45" i="20"/>
  <c r="K45" i="20" s="1"/>
  <c r="G163" i="25"/>
  <c r="I147" i="20"/>
  <c r="K147" i="20" s="1"/>
  <c r="C230" i="25"/>
  <c r="I234" i="20"/>
  <c r="K234" i="20" s="1"/>
  <c r="J87" i="20"/>
  <c r="J151" i="20"/>
  <c r="H207" i="20"/>
  <c r="J303" i="20"/>
  <c r="H225" i="20"/>
  <c r="J125" i="20"/>
  <c r="J72" i="20"/>
  <c r="G136" i="20"/>
  <c r="H192" i="20"/>
  <c r="H49" i="20"/>
  <c r="G121" i="20"/>
  <c r="J233" i="20"/>
  <c r="J74" i="20"/>
  <c r="H122" i="20"/>
  <c r="J186" i="20"/>
  <c r="H173" i="20"/>
  <c r="J102" i="20"/>
  <c r="H35" i="20"/>
  <c r="H99" i="20"/>
  <c r="J163" i="20"/>
  <c r="H227" i="20"/>
  <c r="J116" i="20"/>
  <c r="H196" i="20"/>
  <c r="J221" i="20"/>
  <c r="J110" i="20"/>
  <c r="H148" i="20"/>
  <c r="I165" i="20"/>
  <c r="K165" i="20" s="1"/>
  <c r="G214" i="20"/>
  <c r="M186" i="20"/>
  <c r="Q186" i="20" s="1"/>
  <c r="M47" i="20"/>
  <c r="Q47" i="20" s="1"/>
  <c r="M329" i="20"/>
  <c r="Q329" i="20" s="1"/>
  <c r="M190" i="20"/>
  <c r="Q190" i="20" s="1"/>
  <c r="M191" i="20"/>
  <c r="Q191" i="20" s="1"/>
  <c r="M172" i="20"/>
  <c r="Q172" i="20" s="1"/>
  <c r="M113" i="20"/>
  <c r="Q113" i="20" s="1"/>
  <c r="I186" i="25"/>
  <c r="I206" i="25"/>
  <c r="I169" i="25"/>
  <c r="G187" i="25"/>
  <c r="G188" i="25"/>
  <c r="M324" i="20"/>
  <c r="Q324" i="20" s="1"/>
  <c r="M145" i="20"/>
  <c r="Q145" i="20" s="1"/>
  <c r="C147" i="25"/>
  <c r="G166" i="20"/>
  <c r="G26" i="20"/>
  <c r="G77" i="20"/>
  <c r="C136" i="25"/>
  <c r="I170" i="20"/>
  <c r="K170" i="20" s="1"/>
  <c r="I178" i="25"/>
  <c r="I148" i="25"/>
  <c r="G195" i="25"/>
  <c r="C159" i="25"/>
  <c r="G218" i="25"/>
  <c r="G232" i="20"/>
  <c r="C232" i="25"/>
  <c r="C253" i="25"/>
  <c r="I149" i="20"/>
  <c r="K149" i="20" s="1"/>
  <c r="G153" i="25"/>
  <c r="I49" i="20"/>
  <c r="K49" i="20" s="1"/>
  <c r="I144" i="20"/>
  <c r="K144" i="20" s="1"/>
  <c r="C238" i="25"/>
  <c r="G75" i="20"/>
  <c r="I87" i="20"/>
  <c r="K87" i="20" s="1"/>
  <c r="I151" i="20"/>
  <c r="K151" i="20" s="1"/>
  <c r="J215" i="20"/>
  <c r="H303" i="20"/>
  <c r="J225" i="20"/>
  <c r="G125" i="20"/>
  <c r="H72" i="20"/>
  <c r="J136" i="20"/>
  <c r="G200" i="20"/>
  <c r="H57" i="20"/>
  <c r="H137" i="20"/>
  <c r="G233" i="20"/>
  <c r="I74" i="20"/>
  <c r="K74" i="20" s="1"/>
  <c r="J130" i="20"/>
  <c r="H186" i="20"/>
  <c r="J173" i="20"/>
  <c r="I102" i="20"/>
  <c r="K102" i="20" s="1"/>
  <c r="J43" i="20"/>
  <c r="J107" i="20"/>
  <c r="H163" i="20"/>
  <c r="J235" i="20"/>
  <c r="J28" i="20"/>
  <c r="I116" i="20"/>
  <c r="K116" i="20" s="1"/>
  <c r="G212" i="20"/>
  <c r="H237" i="20"/>
  <c r="I110" i="20"/>
  <c r="K110" i="20" s="1"/>
  <c r="J172" i="20"/>
  <c r="J165" i="20"/>
  <c r="J214" i="20"/>
  <c r="M206" i="20"/>
  <c r="Q206" i="20" s="1"/>
  <c r="M67" i="20"/>
  <c r="Q67" i="20" s="1"/>
  <c r="G227" i="25"/>
  <c r="M230" i="20"/>
  <c r="Q230" i="20" s="1"/>
  <c r="M210" i="20"/>
  <c r="Q210" i="20" s="1"/>
  <c r="M211" i="20"/>
  <c r="Q211" i="20" s="1"/>
  <c r="M192" i="20"/>
  <c r="Q192" i="20" s="1"/>
  <c r="M133" i="20"/>
  <c r="Q133" i="20" s="1"/>
  <c r="M34" i="20"/>
  <c r="Q34" i="20" s="1"/>
  <c r="M64" i="20"/>
  <c r="Q64" i="20" s="1"/>
  <c r="G143" i="25"/>
  <c r="M165" i="20"/>
  <c r="Q165" i="20" s="1"/>
  <c r="C176" i="25"/>
  <c r="G104" i="20"/>
  <c r="I129" i="20"/>
  <c r="K129" i="20" s="1"/>
  <c r="G191" i="25"/>
  <c r="G162" i="20"/>
  <c r="G100" i="20"/>
  <c r="C180" i="25"/>
  <c r="G161" i="25"/>
  <c r="C250" i="25"/>
  <c r="I166" i="20"/>
  <c r="K166" i="20" s="1"/>
  <c r="I108" i="20"/>
  <c r="K108" i="20" s="1"/>
  <c r="G106" i="20"/>
  <c r="I166" i="25"/>
  <c r="G140" i="25"/>
  <c r="I183" i="25"/>
  <c r="C195" i="25"/>
  <c r="G141" i="20"/>
  <c r="I223" i="25"/>
  <c r="C221" i="25"/>
  <c r="G251" i="25"/>
  <c r="C236" i="25"/>
  <c r="C257" i="25"/>
  <c r="I158" i="20"/>
  <c r="K158" i="20" s="1"/>
  <c r="G257" i="25"/>
  <c r="I232" i="25"/>
  <c r="I228" i="25"/>
  <c r="C144" i="25"/>
  <c r="G183" i="20"/>
  <c r="J31" i="20"/>
  <c r="H87" i="20"/>
  <c r="H151" i="20"/>
  <c r="H215" i="20"/>
  <c r="H311" i="20"/>
  <c r="H157" i="20"/>
  <c r="G80" i="20"/>
  <c r="H136" i="20"/>
  <c r="J200" i="20"/>
  <c r="J57" i="20"/>
  <c r="J137" i="20"/>
  <c r="H74" i="20"/>
  <c r="I130" i="20"/>
  <c r="K130" i="20" s="1"/>
  <c r="G194" i="20"/>
  <c r="H197" i="20"/>
  <c r="H102" i="20"/>
  <c r="H43" i="20"/>
  <c r="I107" i="20"/>
  <c r="K107" i="20" s="1"/>
  <c r="G163" i="20"/>
  <c r="H235" i="20"/>
  <c r="I28" i="20"/>
  <c r="K28" i="20" s="1"/>
  <c r="H116" i="20"/>
  <c r="J212" i="20"/>
  <c r="J237" i="20"/>
  <c r="H110" i="20"/>
  <c r="I172" i="20"/>
  <c r="K172" i="20" s="1"/>
  <c r="H213" i="20"/>
  <c r="H214" i="20"/>
  <c r="M226" i="20"/>
  <c r="Q226" i="20" s="1"/>
  <c r="M87" i="20"/>
  <c r="Q87" i="20" s="1"/>
  <c r="M28" i="20"/>
  <c r="Q28" i="20" s="1"/>
  <c r="I198" i="25"/>
  <c r="M331" i="20"/>
  <c r="Q331" i="20" s="1"/>
  <c r="M310" i="20"/>
  <c r="Q310" i="20" s="1"/>
  <c r="M231" i="20"/>
  <c r="Q231" i="20" s="1"/>
  <c r="M212" i="20"/>
  <c r="Q212" i="20" s="1"/>
  <c r="M153" i="20"/>
  <c r="Q153" i="20" s="1"/>
  <c r="M54" i="20"/>
  <c r="Q54" i="20" s="1"/>
  <c r="I149" i="25"/>
  <c r="I157" i="25"/>
  <c r="G223" i="25"/>
  <c r="M185" i="20"/>
  <c r="Q185" i="20" s="1"/>
  <c r="G170" i="20"/>
  <c r="I126" i="20"/>
  <c r="K126" i="20" s="1"/>
  <c r="C152" i="25"/>
  <c r="C201" i="25"/>
  <c r="C194" i="25"/>
  <c r="I162" i="20"/>
  <c r="K162" i="20" s="1"/>
  <c r="I104" i="20"/>
  <c r="K104" i="20" s="1"/>
  <c r="G171" i="25"/>
  <c r="G102" i="20"/>
  <c r="G166" i="25"/>
  <c r="I83" i="20"/>
  <c r="K83" i="20" s="1"/>
  <c r="C178" i="25"/>
  <c r="G157" i="20"/>
  <c r="G68" i="20"/>
  <c r="I227" i="25"/>
  <c r="G222" i="25"/>
  <c r="G236" i="20"/>
  <c r="C254" i="25"/>
  <c r="C240" i="25"/>
  <c r="I151" i="25"/>
  <c r="I209" i="25"/>
  <c r="I150" i="20"/>
  <c r="K150" i="20" s="1"/>
  <c r="I221" i="25"/>
  <c r="I190" i="25"/>
  <c r="G254" i="25"/>
  <c r="G67" i="20"/>
  <c r="I39" i="20"/>
  <c r="K39" i="20" s="1"/>
  <c r="C139" i="25"/>
  <c r="H31" i="20"/>
  <c r="J95" i="20"/>
  <c r="J159" i="20"/>
  <c r="J223" i="20"/>
  <c r="I89" i="20"/>
  <c r="K89" i="20" s="1"/>
  <c r="J157" i="20"/>
  <c r="J80" i="20"/>
  <c r="G144" i="20"/>
  <c r="H200" i="20"/>
  <c r="J65" i="20"/>
  <c r="H145" i="20"/>
  <c r="J82" i="20"/>
  <c r="H130" i="20"/>
  <c r="J194" i="20"/>
  <c r="J197" i="20"/>
  <c r="G118" i="20"/>
  <c r="G43" i="20"/>
  <c r="H107" i="20"/>
  <c r="J171" i="20"/>
  <c r="G235" i="20"/>
  <c r="H28" i="20"/>
  <c r="J124" i="20"/>
  <c r="H212" i="20"/>
  <c r="G237" i="20"/>
  <c r="J126" i="20"/>
  <c r="H172" i="20"/>
  <c r="J213" i="20"/>
  <c r="M306" i="20"/>
  <c r="Q306" i="20" s="1"/>
  <c r="M107" i="20"/>
  <c r="Q107" i="20" s="1"/>
  <c r="M48" i="20"/>
  <c r="Q48" i="20" s="1"/>
  <c r="G180" i="25"/>
  <c r="M217" i="20"/>
  <c r="Q217" i="20" s="1"/>
  <c r="M314" i="20"/>
  <c r="Q314" i="20" s="1"/>
  <c r="M311" i="20"/>
  <c r="Q311" i="20" s="1"/>
  <c r="M232" i="20"/>
  <c r="Q232" i="20" s="1"/>
  <c r="M173" i="20"/>
  <c r="Q173" i="20" s="1"/>
  <c r="M74" i="20"/>
  <c r="Q74" i="20" s="1"/>
  <c r="M35" i="20"/>
  <c r="Q35" i="20" s="1"/>
  <c r="G235" i="25"/>
  <c r="I140" i="25"/>
  <c r="G243" i="25"/>
  <c r="M205" i="20"/>
  <c r="Q205" i="20" s="1"/>
  <c r="G108" i="20"/>
  <c r="G137" i="25"/>
  <c r="C172" i="25"/>
  <c r="G111" i="20"/>
  <c r="I100" i="20"/>
  <c r="K100" i="20" s="1"/>
  <c r="G139" i="25"/>
  <c r="G98" i="20"/>
  <c r="C168" i="25"/>
  <c r="I91" i="20"/>
  <c r="K91" i="20" s="1"/>
  <c r="G93" i="20"/>
  <c r="G161" i="20"/>
  <c r="C163" i="25"/>
  <c r="G145" i="20"/>
  <c r="I231" i="25"/>
  <c r="C225" i="25"/>
  <c r="G143" i="20"/>
  <c r="G255" i="25"/>
  <c r="C244" i="25"/>
  <c r="I154" i="25"/>
  <c r="G116" i="20"/>
  <c r="G198" i="25"/>
  <c r="I225" i="25"/>
  <c r="I34" i="20"/>
  <c r="K34" i="20" s="1"/>
  <c r="G142" i="20"/>
  <c r="I43" i="20"/>
  <c r="K43" i="20" s="1"/>
  <c r="I31" i="20"/>
  <c r="K31" i="20" s="1"/>
  <c r="H95" i="20"/>
  <c r="I159" i="20"/>
  <c r="K159" i="20" s="1"/>
  <c r="H223" i="20"/>
  <c r="H89" i="20"/>
  <c r="H181" i="20"/>
  <c r="H80" i="20"/>
  <c r="J144" i="20"/>
  <c r="G208" i="20"/>
  <c r="H65" i="20"/>
  <c r="J145" i="20"/>
  <c r="J26" i="20"/>
  <c r="I82" i="20"/>
  <c r="K82" i="20" s="1"/>
  <c r="G138" i="20"/>
  <c r="H194" i="20"/>
  <c r="G197" i="20"/>
  <c r="J118" i="20"/>
  <c r="J51" i="20"/>
  <c r="J115" i="20"/>
  <c r="H171" i="20"/>
  <c r="J36" i="20"/>
  <c r="H124" i="20"/>
  <c r="J228" i="20"/>
  <c r="H308" i="20"/>
  <c r="H126" i="20"/>
  <c r="G188" i="20"/>
  <c r="G213" i="20"/>
  <c r="G306" i="20"/>
  <c r="G224" i="25"/>
  <c r="M326" i="20"/>
  <c r="Q326" i="20" s="1"/>
  <c r="M127" i="20"/>
  <c r="Q127" i="20" s="1"/>
  <c r="M68" i="20"/>
  <c r="Q68" i="20" s="1"/>
  <c r="M43" i="20"/>
  <c r="Q43" i="20" s="1"/>
  <c r="M204" i="20"/>
  <c r="Q204" i="20" s="1"/>
  <c r="M177" i="20"/>
  <c r="Q177" i="20" s="1"/>
  <c r="M312" i="20"/>
  <c r="Q312" i="20" s="1"/>
  <c r="M193" i="20"/>
  <c r="Q193" i="20" s="1"/>
  <c r="M94" i="20"/>
  <c r="Q94" i="20" s="1"/>
  <c r="M55" i="20"/>
  <c r="Q55" i="20" s="1"/>
  <c r="I141" i="25"/>
  <c r="M40" i="20"/>
  <c r="Q40" i="20" s="1"/>
  <c r="I197" i="25"/>
  <c r="M225" i="20"/>
  <c r="Q225" i="20" s="1"/>
  <c r="G327" i="20"/>
  <c r="G316" i="20"/>
  <c r="I324" i="20"/>
  <c r="K324" i="20" s="1"/>
  <c r="J313" i="20"/>
  <c r="H316" i="20"/>
  <c r="I318" i="20"/>
  <c r="K318" i="20" s="1"/>
  <c r="I316" i="20"/>
  <c r="K316" i="20" s="1"/>
  <c r="I321" i="20"/>
  <c r="K321" i="20" s="1"/>
  <c r="G325" i="20"/>
  <c r="H325" i="20"/>
  <c r="G319" i="20"/>
  <c r="H321" i="20"/>
  <c r="J331" i="20"/>
  <c r="H331" i="20"/>
  <c r="J325" i="20"/>
  <c r="J320" i="20"/>
  <c r="G323" i="20"/>
  <c r="J323" i="20"/>
  <c r="I317" i="20"/>
  <c r="K317" i="20" s="1"/>
  <c r="J319" i="20"/>
  <c r="H313" i="20"/>
  <c r="H328" i="20"/>
  <c r="J316" i="20"/>
  <c r="G310" i="20"/>
  <c r="I327" i="20"/>
  <c r="K327" i="20" s="1"/>
  <c r="I312" i="20"/>
  <c r="K312" i="20" s="1"/>
  <c r="I329" i="20"/>
  <c r="K329" i="20" s="1"/>
  <c r="H319" i="20"/>
  <c r="J329" i="20"/>
  <c r="I328" i="20"/>
  <c r="K328" i="20" s="1"/>
  <c r="H332" i="20"/>
  <c r="G326" i="20"/>
  <c r="I333" i="20"/>
  <c r="K333" i="20" s="1"/>
  <c r="G320" i="20"/>
  <c r="J327" i="20"/>
  <c r="G329" i="20"/>
  <c r="J328" i="20"/>
  <c r="I332" i="20"/>
  <c r="K332" i="20" s="1"/>
  <c r="G314" i="20"/>
  <c r="G331" i="20"/>
  <c r="G328" i="20"/>
  <c r="H327" i="20"/>
  <c r="H329" i="20"/>
  <c r="H326" i="20"/>
  <c r="J332" i="20"/>
  <c r="I315" i="20"/>
  <c r="K315" i="20" s="1"/>
  <c r="I331" i="20"/>
  <c r="K331" i="20" s="1"/>
  <c r="G332" i="20"/>
  <c r="J326" i="20"/>
  <c r="I319" i="20"/>
  <c r="K319" i="20" s="1"/>
  <c r="J317" i="20"/>
  <c r="H310" i="20"/>
  <c r="H317" i="20"/>
  <c r="G324" i="20"/>
  <c r="F33" i="13"/>
  <c r="F55" i="13"/>
  <c r="F32" i="13"/>
  <c r="F54" i="13"/>
  <c r="F31" i="13"/>
  <c r="F53" i="13"/>
  <c r="F30" i="13"/>
  <c r="F52" i="13"/>
  <c r="F29" i="13"/>
  <c r="F51" i="13"/>
  <c r="F27" i="13"/>
  <c r="F50" i="13"/>
  <c r="F26" i="13"/>
  <c r="F48" i="13"/>
  <c r="F25" i="13"/>
  <c r="F47" i="13"/>
  <c r="F24" i="13"/>
  <c r="F46" i="13"/>
  <c r="F23" i="13"/>
  <c r="F45" i="13"/>
  <c r="F21" i="13"/>
  <c r="F44" i="13"/>
  <c r="F20" i="13"/>
  <c r="F43" i="13"/>
  <c r="F42" i="13"/>
  <c r="F41" i="13"/>
  <c r="F39" i="13"/>
  <c r="F38" i="13"/>
  <c r="F37" i="13"/>
  <c r="F36" i="13"/>
  <c r="F35" i="13"/>
  <c r="J310" i="20"/>
  <c r="G333" i="20"/>
  <c r="H324" i="20"/>
  <c r="G317" i="20"/>
  <c r="I325" i="20"/>
  <c r="K325" i="20" s="1"/>
  <c r="H314" i="20"/>
  <c r="J333" i="20"/>
  <c r="J324" i="20"/>
  <c r="J314" i="20"/>
  <c r="H333" i="20"/>
  <c r="H322" i="20"/>
  <c r="H318" i="20"/>
  <c r="I322" i="20"/>
  <c r="K322" i="20" s="1"/>
  <c r="J322" i="20"/>
  <c r="G315" i="20"/>
  <c r="J318" i="20"/>
  <c r="I326" i="20"/>
  <c r="K326" i="20" s="1"/>
  <c r="H330" i="20"/>
  <c r="J315" i="20"/>
  <c r="G312" i="20"/>
  <c r="I330" i="20"/>
  <c r="K330" i="20" s="1"/>
  <c r="H315" i="20"/>
  <c r="G313" i="20"/>
  <c r="G330" i="20"/>
  <c r="I320" i="20"/>
  <c r="K320" i="20" s="1"/>
  <c r="G311" i="20"/>
  <c r="I311" i="20"/>
  <c r="K311" i="20" s="1"/>
  <c r="H312" i="20"/>
  <c r="G321" i="20"/>
  <c r="J330" i="20"/>
  <c r="J311" i="20"/>
  <c r="J312" i="20"/>
  <c r="J321" i="20"/>
  <c r="H323" i="20"/>
  <c r="I135" i="20"/>
  <c r="K135" i="20" s="1"/>
  <c r="I120" i="20"/>
  <c r="K120" i="20" s="1"/>
  <c r="I200" i="20"/>
  <c r="K200" i="20" s="1"/>
  <c r="G224" i="20"/>
  <c r="I194" i="20"/>
  <c r="K194" i="20" s="1"/>
  <c r="I38" i="20"/>
  <c r="K38" i="20" s="1"/>
  <c r="G124" i="20"/>
  <c r="I181" i="20"/>
  <c r="K181" i="20" s="1"/>
  <c r="I184" i="20"/>
  <c r="K184" i="20" s="1"/>
  <c r="G25" i="20"/>
  <c r="I114" i="20"/>
  <c r="K114" i="20" s="1"/>
  <c r="G51" i="20"/>
  <c r="I171" i="20"/>
  <c r="K171" i="20" s="1"/>
  <c r="I60" i="20"/>
  <c r="K60" i="20" s="1"/>
  <c r="G172" i="20"/>
  <c r="G71" i="20"/>
  <c r="I119" i="20"/>
  <c r="K119" i="20" s="1"/>
  <c r="G15" i="20"/>
  <c r="I137" i="20"/>
  <c r="K137" i="20" s="1"/>
  <c r="I58" i="20"/>
  <c r="K58" i="20" s="1"/>
  <c r="I182" i="20"/>
  <c r="K182" i="20" s="1"/>
  <c r="I215" i="20"/>
  <c r="K215" i="20" s="1"/>
  <c r="G53" i="20"/>
  <c r="G176" i="20"/>
  <c r="I193" i="20"/>
  <c r="K193" i="20" s="1"/>
  <c r="G90" i="20"/>
  <c r="I202" i="20"/>
  <c r="K202" i="20" s="1"/>
  <c r="I203" i="20"/>
  <c r="K203" i="20" s="1"/>
  <c r="G29" i="20"/>
  <c r="G96" i="20"/>
  <c r="I152" i="20"/>
  <c r="K152" i="20" s="1"/>
  <c r="G57" i="20"/>
  <c r="I198" i="20"/>
  <c r="K198" i="20" s="1"/>
  <c r="I216" i="20"/>
  <c r="K216" i="20" s="1"/>
  <c r="G21" i="20"/>
  <c r="I62" i="20"/>
  <c r="K62" i="20" s="1"/>
  <c r="I209" i="20"/>
  <c r="K209" i="20" s="1"/>
  <c r="G186" i="20"/>
  <c r="I64" i="20"/>
  <c r="K64" i="20" s="1"/>
  <c r="G55" i="20"/>
  <c r="I190" i="20"/>
  <c r="K190" i="20" s="1"/>
  <c r="I96" i="20"/>
  <c r="K96" i="20" s="1"/>
  <c r="I192" i="20"/>
  <c r="K192" i="20" s="1"/>
  <c r="I208" i="20"/>
  <c r="K208" i="20" s="1"/>
  <c r="I224" i="20"/>
  <c r="K224" i="20" s="1"/>
  <c r="I122" i="20"/>
  <c r="K122" i="20" s="1"/>
  <c r="I154" i="20"/>
  <c r="K154" i="20" s="1"/>
  <c r="I186" i="20"/>
  <c r="K186" i="20" s="1"/>
  <c r="I218" i="20"/>
  <c r="K218" i="20" s="1"/>
  <c r="G61" i="20"/>
  <c r="I118" i="20"/>
  <c r="K118" i="20" s="1"/>
  <c r="I206" i="20"/>
  <c r="K206" i="20" s="1"/>
  <c r="G27" i="20"/>
  <c r="G59" i="20"/>
  <c r="I124" i="20"/>
  <c r="K124" i="20" s="1"/>
  <c r="I212" i="20"/>
  <c r="K212" i="20" s="1"/>
  <c r="I132" i="20"/>
  <c r="K132" i="20" s="1"/>
  <c r="I204" i="20"/>
  <c r="K204" i="20" s="1"/>
  <c r="I125" i="20"/>
  <c r="K125" i="20" s="1"/>
  <c r="I22" i="20"/>
  <c r="K22" i="20" s="1"/>
  <c r="I197" i="20"/>
  <c r="K197" i="20" s="1"/>
  <c r="I187" i="20"/>
  <c r="K187" i="20" s="1"/>
  <c r="I219" i="20"/>
  <c r="K219" i="20" s="1"/>
  <c r="G22" i="20"/>
  <c r="I55" i="20"/>
  <c r="K55" i="20" s="1"/>
  <c r="G119" i="20"/>
  <c r="G135" i="20"/>
  <c r="G151" i="20"/>
  <c r="G199" i="20"/>
  <c r="G215" i="20"/>
  <c r="G12" i="20"/>
  <c r="G181" i="20"/>
  <c r="I15" i="20"/>
  <c r="K15" i="20" s="1"/>
  <c r="G64" i="20"/>
  <c r="I25" i="20"/>
  <c r="K25" i="20" s="1"/>
  <c r="I57" i="20"/>
  <c r="K57" i="20" s="1"/>
  <c r="G97" i="20"/>
  <c r="G137" i="20"/>
  <c r="G217" i="20"/>
  <c r="G58" i="20"/>
  <c r="I13" i="20"/>
  <c r="K13" i="20" s="1"/>
  <c r="I59" i="20"/>
  <c r="K59" i="20" s="1"/>
  <c r="G123" i="20"/>
  <c r="G155" i="20"/>
  <c r="G187" i="20"/>
  <c r="G203" i="20"/>
  <c r="G219" i="20"/>
  <c r="G28" i="20"/>
  <c r="G221" i="20"/>
  <c r="G60" i="20"/>
  <c r="G165" i="20"/>
  <c r="G62" i="20"/>
  <c r="G31" i="20"/>
  <c r="G63" i="20"/>
  <c r="I153" i="20"/>
  <c r="K153" i="20" s="1"/>
  <c r="I205" i="20"/>
  <c r="K205" i="20" s="1"/>
  <c r="G152" i="20"/>
  <c r="G184" i="20"/>
  <c r="G216" i="20"/>
  <c r="I121" i="20"/>
  <c r="K121" i="20" s="1"/>
  <c r="I177" i="20"/>
  <c r="K177" i="20" s="1"/>
  <c r="I201" i="20"/>
  <c r="K201" i="20" s="1"/>
  <c r="G78" i="20"/>
  <c r="G182" i="20"/>
  <c r="G164" i="20"/>
  <c r="I189" i="20"/>
  <c r="K189" i="20" s="1"/>
  <c r="G94" i="20"/>
  <c r="G222" i="20"/>
  <c r="G220" i="20"/>
  <c r="I14" i="20"/>
  <c r="K14" i="20" s="1"/>
  <c r="I79" i="20"/>
  <c r="K79" i="20" s="1"/>
  <c r="I175" i="20"/>
  <c r="K175" i="20" s="1"/>
  <c r="I191" i="20"/>
  <c r="K191" i="20" s="1"/>
  <c r="I207" i="20"/>
  <c r="K207" i="20" s="1"/>
  <c r="I223" i="20"/>
  <c r="K223" i="20" s="1"/>
  <c r="I56" i="20"/>
  <c r="K56" i="20" s="1"/>
  <c r="I115" i="20"/>
  <c r="K115" i="20" s="1"/>
  <c r="I195" i="20"/>
  <c r="K195" i="20" s="1"/>
  <c r="I211" i="20"/>
  <c r="K211" i="20" s="1"/>
  <c r="I227" i="20"/>
  <c r="K227" i="20" s="1"/>
  <c r="I36" i="20"/>
  <c r="K36" i="20" s="1"/>
  <c r="I52" i="20"/>
  <c r="K52" i="20" s="1"/>
  <c r="I20" i="20"/>
  <c r="K20" i="20" s="1"/>
  <c r="I133" i="20"/>
  <c r="K133" i="20" s="1"/>
  <c r="I213" i="20"/>
  <c r="K213" i="20" s="1"/>
  <c r="I188" i="20"/>
  <c r="K188" i="20" s="1"/>
  <c r="I220" i="20"/>
  <c r="K220" i="20" s="1"/>
  <c r="I214" i="20"/>
  <c r="K214" i="20" s="1"/>
  <c r="G65" i="20"/>
  <c r="I178" i="20"/>
  <c r="K178" i="20" s="1"/>
  <c r="I210" i="20"/>
  <c r="K210" i="20" s="1"/>
  <c r="I226" i="20"/>
  <c r="K226" i="20" s="1"/>
  <c r="I78" i="20"/>
  <c r="K78" i="20" s="1"/>
  <c r="I134" i="20"/>
  <c r="K134" i="20" s="1"/>
  <c r="I196" i="20"/>
  <c r="K196" i="20" s="1"/>
  <c r="G14" i="20"/>
  <c r="I63" i="20"/>
  <c r="K63" i="20" s="1"/>
  <c r="G79" i="20"/>
  <c r="G127" i="20"/>
  <c r="G159" i="20"/>
  <c r="G175" i="20"/>
  <c r="G191" i="20"/>
  <c r="G207" i="20"/>
  <c r="G223" i="20"/>
  <c r="G89" i="20"/>
  <c r="G153" i="20"/>
  <c r="G225" i="20"/>
  <c r="I29" i="20"/>
  <c r="K29" i="20" s="1"/>
  <c r="G56" i="20"/>
  <c r="I65" i="20"/>
  <c r="K65" i="20" s="1"/>
  <c r="G177" i="20"/>
  <c r="G50" i="20"/>
  <c r="G173" i="20"/>
  <c r="I21" i="20"/>
  <c r="K21" i="20" s="1"/>
  <c r="I51" i="20"/>
  <c r="K51" i="20" s="1"/>
  <c r="G115" i="20"/>
  <c r="G179" i="20"/>
  <c r="G195" i="20"/>
  <c r="G211" i="20"/>
  <c r="G227" i="20"/>
  <c r="G20" i="20"/>
  <c r="G117" i="20"/>
  <c r="G30"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F237" i="20"/>
  <c r="F294" i="20"/>
  <c r="L294" i="20" s="1"/>
  <c r="F281" i="20"/>
  <c r="L281" i="20" s="1"/>
  <c r="F292" i="20"/>
  <c r="L292" i="20" s="1"/>
  <c r="F238" i="20"/>
  <c r="F284" i="20"/>
  <c r="L284" i="20" s="1"/>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F289" i="20"/>
  <c r="L289" i="20" s="1"/>
  <c r="F244" i="20"/>
  <c r="F268" i="20"/>
  <c r="L268" i="20" s="1"/>
  <c r="F288" i="20"/>
  <c r="L288" i="20" s="1"/>
  <c r="F286" i="20"/>
  <c r="L286" i="20" s="1"/>
  <c r="F260" i="20"/>
  <c r="L260" i="20" s="1"/>
  <c r="F279" i="20"/>
  <c r="L279" i="20" s="1"/>
  <c r="F264" i="20"/>
  <c r="L264" i="20" s="1"/>
  <c r="F247" i="20"/>
  <c r="F242" i="20"/>
  <c r="F239" i="20"/>
  <c r="F278" i="20"/>
  <c r="L278" i="20" s="1"/>
  <c r="F263" i="20"/>
  <c r="L263" i="20" s="1"/>
  <c r="F287" i="20"/>
  <c r="L287" i="20" s="1"/>
  <c r="F267" i="20"/>
  <c r="L267" i="20" s="1"/>
  <c r="F271" i="20"/>
  <c r="L271" i="20" s="1"/>
  <c r="F253" i="20"/>
  <c r="L253" i="20" s="1"/>
  <c r="F250" i="20"/>
  <c r="L250" i="20" s="1"/>
  <c r="F285" i="20"/>
  <c r="L285" i="20" s="1"/>
  <c r="F240" i="20"/>
  <c r="F293" i="20"/>
  <c r="L293" i="20" s="1"/>
  <c r="F246" i="20"/>
  <c r="L246" i="20" s="1"/>
  <c r="F241" i="20"/>
  <c r="F245" i="20"/>
  <c r="L245" i="20" s="1"/>
  <c r="F248" i="20"/>
  <c r="F295" i="20"/>
  <c r="F277" i="20"/>
  <c r="L277" i="20" s="1"/>
  <c r="F280" i="20"/>
  <c r="L280" i="20" s="1"/>
  <c r="F282" i="20"/>
  <c r="L282" i="20" s="1"/>
  <c r="F290" i="20"/>
  <c r="L290" i="20" s="1"/>
  <c r="F258" i="20"/>
  <c r="L258" i="20" s="1"/>
  <c r="F251" i="20"/>
  <c r="L251" i="20" s="1"/>
  <c r="F261" i="20"/>
  <c r="F256" i="20"/>
  <c r="L256" i="20" s="1"/>
  <c r="F254" i="20"/>
  <c r="L254" i="20" s="1"/>
  <c r="F269" i="20"/>
  <c r="L269" i="20" s="1"/>
  <c r="F272" i="20"/>
  <c r="L272" i="20" s="1"/>
  <c r="F265" i="20"/>
  <c r="L265" i="20" s="1"/>
  <c r="F283" i="20"/>
  <c r="L283" i="20" s="1"/>
  <c r="F275" i="20"/>
  <c r="L275" i="20" s="1"/>
  <c r="F291" i="20"/>
  <c r="L291" i="20" s="1"/>
  <c r="F297" i="20"/>
  <c r="F301" i="20"/>
  <c r="F302" i="20"/>
  <c r="L302" i="20" s="1"/>
  <c r="F296" i="20"/>
  <c r="F298" i="20"/>
  <c r="F300" i="20"/>
  <c r="F299" i="20"/>
  <c r="F16" i="20"/>
  <c r="F105" i="20"/>
  <c r="F110" i="20"/>
  <c r="F168" i="20"/>
  <c r="F90" i="20"/>
  <c r="F77" i="20"/>
  <c r="F160" i="20"/>
  <c r="F155" i="20"/>
  <c r="F136" i="20"/>
  <c r="F149" i="20"/>
  <c r="F236" i="20"/>
  <c r="F312" i="20"/>
  <c r="F324" i="20"/>
  <c r="F332" i="20"/>
  <c r="F318" i="20"/>
  <c r="F49" i="20"/>
  <c r="F40" i="20"/>
  <c r="F43" i="20"/>
  <c r="F146" i="20"/>
  <c r="F139" i="20"/>
  <c r="F235" i="20"/>
  <c r="F231" i="20"/>
  <c r="F323" i="20"/>
  <c r="F101" i="20"/>
  <c r="F107" i="20"/>
  <c r="F102" i="20"/>
  <c r="F108" i="20"/>
  <c r="F94" i="20"/>
  <c r="F85" i="20"/>
  <c r="F112" i="20"/>
  <c r="F113" i="20"/>
  <c r="F157" i="20"/>
  <c r="F234" i="20"/>
  <c r="F307" i="20"/>
  <c r="F311" i="20"/>
  <c r="F315" i="20"/>
  <c r="F309" i="20"/>
  <c r="F47" i="20"/>
  <c r="F76" i="20"/>
  <c r="F42" i="20"/>
  <c r="F227" i="20"/>
  <c r="F317" i="20"/>
  <c r="F166" i="20"/>
  <c r="F313" i="20"/>
  <c r="F44" i="20"/>
  <c r="F46" i="20"/>
  <c r="F330" i="20"/>
  <c r="F308" i="20"/>
  <c r="F98" i="20"/>
  <c r="F140" i="20"/>
  <c r="F310" i="20"/>
  <c r="F165" i="20"/>
  <c r="F103" i="20"/>
  <c r="F100" i="20"/>
  <c r="F148" i="20"/>
  <c r="F184" i="20"/>
  <c r="F233" i="20"/>
  <c r="F329" i="20"/>
  <c r="F327" i="20"/>
  <c r="F82" i="20"/>
  <c r="F66" i="20"/>
  <c r="F68" i="20"/>
  <c r="F142" i="20"/>
  <c r="F80" i="20"/>
  <c r="F162" i="20"/>
  <c r="F173" i="20"/>
  <c r="F116" i="20"/>
  <c r="F138" i="20"/>
  <c r="F167" i="20"/>
  <c r="F19" i="20"/>
  <c r="F143" i="20"/>
  <c r="F319" i="20"/>
  <c r="F305" i="20"/>
  <c r="F331" i="20"/>
  <c r="F33" i="20"/>
  <c r="F32" i="20"/>
  <c r="F48" i="20"/>
  <c r="F74" i="20"/>
  <c r="F17" i="20"/>
  <c r="F88" i="20"/>
  <c r="F75" i="20"/>
  <c r="F229" i="20"/>
  <c r="F99" i="20"/>
  <c r="F86" i="20"/>
  <c r="F92" i="20"/>
  <c r="F84" i="20"/>
  <c r="F147" i="20"/>
  <c r="F303" i="20"/>
  <c r="F321" i="20"/>
  <c r="F333" i="20"/>
  <c r="F306" i="20"/>
  <c r="F322" i="20"/>
  <c r="F37" i="20"/>
  <c r="F72" i="20"/>
  <c r="F18" i="20"/>
  <c r="F106" i="20"/>
  <c r="F23" i="20"/>
  <c r="F26" i="20"/>
  <c r="F169" i="20"/>
  <c r="F54" i="20"/>
  <c r="F83" i="20"/>
  <c r="F69" i="20"/>
  <c r="F141" i="20"/>
  <c r="F67" i="20"/>
  <c r="F145" i="20"/>
  <c r="F228" i="20"/>
  <c r="F320" i="20"/>
  <c r="F328" i="20"/>
  <c r="F326" i="20"/>
  <c r="F41" i="20"/>
  <c r="F35" i="20"/>
  <c r="F159" i="20"/>
  <c r="F304" i="20"/>
  <c r="F144" i="20"/>
  <c r="F109" i="20"/>
  <c r="F161" i="20"/>
  <c r="F111" i="20"/>
  <c r="F104" i="20"/>
  <c r="F87" i="20"/>
  <c r="F81" i="20"/>
  <c r="F91" i="20"/>
  <c r="F73" i="20"/>
  <c r="F156" i="20"/>
  <c r="F182" i="20"/>
  <c r="F230" i="20"/>
  <c r="F232" i="20"/>
  <c r="F325" i="20"/>
  <c r="F314" i="20"/>
  <c r="F45" i="20"/>
  <c r="F39" i="20"/>
  <c r="F70" i="20"/>
  <c r="F316" i="20"/>
  <c r="F34" i="20"/>
  <c r="F130" i="20"/>
  <c r="F132" i="20"/>
  <c r="F131" i="20"/>
  <c r="F129" i="20"/>
  <c r="F127" i="20"/>
  <c r="F14" i="20"/>
  <c r="F174" i="20"/>
  <c r="F51" i="20"/>
  <c r="F93" i="20"/>
  <c r="F177" i="20"/>
  <c r="F59" i="20"/>
  <c r="F218" i="20"/>
  <c r="F55" i="20"/>
  <c r="F196" i="20"/>
  <c r="F199" i="20"/>
  <c r="F135" i="20"/>
  <c r="L135" i="20" s="1"/>
  <c r="F214" i="20"/>
  <c r="F202" i="20"/>
  <c r="F21" i="20"/>
  <c r="F28" i="20"/>
  <c r="F13" i="20"/>
  <c r="F12" i="20"/>
  <c r="F170" i="20"/>
  <c r="F175" i="20"/>
  <c r="F25" i="20"/>
  <c r="F126" i="20"/>
  <c r="F78" i="20"/>
  <c r="F71" i="20"/>
  <c r="F150" i="20"/>
  <c r="F63" i="20"/>
  <c r="F201" i="20"/>
  <c r="F225" i="20"/>
  <c r="F200" i="20"/>
  <c r="F203" i="20"/>
  <c r="F22" i="20"/>
  <c r="F15" i="20"/>
  <c r="F31" i="20"/>
  <c r="F52" i="20"/>
  <c r="F89" i="20"/>
  <c r="F95" i="20"/>
  <c r="F121" i="20"/>
  <c r="F133" i="20"/>
  <c r="F153" i="20"/>
  <c r="F222" i="20"/>
  <c r="F58" i="20"/>
  <c r="F204" i="20"/>
  <c r="F61" i="20"/>
  <c r="F207" i="20"/>
  <c r="F137" i="20"/>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L148" i="20" l="1"/>
  <c r="L150" i="20"/>
  <c r="N237" i="20"/>
  <c r="T237" i="20" s="1"/>
  <c r="V237" i="20" s="1"/>
  <c r="L149" i="20"/>
  <c r="L146" i="20"/>
  <c r="L139" i="20"/>
  <c r="L140" i="20"/>
  <c r="L142" i="20"/>
  <c r="L138" i="20"/>
  <c r="L143" i="20"/>
  <c r="L147" i="20"/>
  <c r="L137" i="20"/>
  <c r="L145" i="20"/>
  <c r="L141" i="20"/>
  <c r="L136" i="20"/>
  <c r="L144" i="20"/>
  <c r="O296" i="20"/>
  <c r="O297" i="20"/>
  <c r="O302" i="20"/>
  <c r="O298" i="20"/>
  <c r="O299" i="20"/>
  <c r="O300" i="20"/>
  <c r="O301" i="20"/>
  <c r="O295" i="20"/>
  <c r="N316" i="20"/>
  <c r="N314" i="20"/>
  <c r="N35" i="20"/>
  <c r="N313" i="20"/>
  <c r="O170" i="20"/>
  <c r="P18" i="20"/>
  <c r="P17" i="20"/>
  <c r="P11" i="20"/>
  <c r="N329" i="20"/>
  <c r="N127" i="20"/>
  <c r="N317" i="20"/>
  <c r="N151" i="20"/>
  <c r="N173" i="20"/>
  <c r="N77" i="20"/>
  <c r="P7" i="20"/>
  <c r="P5" i="20"/>
  <c r="O165" i="20"/>
  <c r="P20" i="20"/>
  <c r="P19" i="20"/>
  <c r="N31" i="20"/>
  <c r="N332" i="20"/>
  <c r="N163" i="20"/>
  <c r="O175" i="20"/>
  <c r="N232" i="20"/>
  <c r="N16" i="20"/>
  <c r="N46" i="20"/>
  <c r="N54" i="20"/>
  <c r="P9" i="20"/>
  <c r="O103" i="20"/>
  <c r="N47" i="20"/>
  <c r="N95" i="20"/>
  <c r="P22" i="20"/>
  <c r="N319" i="20"/>
  <c r="N325" i="20"/>
  <c r="N174" i="20"/>
  <c r="N169" i="20"/>
  <c r="N18" i="20"/>
  <c r="N217" i="20"/>
  <c r="N103" i="20"/>
  <c r="P21" i="20"/>
  <c r="N307" i="20"/>
  <c r="O167" i="20"/>
  <c r="P23" i="20"/>
  <c r="N85" i="20"/>
  <c r="O249" i="20"/>
  <c r="L333" i="20"/>
  <c r="L65" i="20"/>
  <c r="L130" i="20"/>
  <c r="L151" i="20"/>
  <c r="N116" i="20"/>
  <c r="N117" i="20"/>
  <c r="N17" i="20"/>
  <c r="P4" i="20"/>
  <c r="O248" i="20"/>
  <c r="P248" i="20" s="1"/>
  <c r="O247" i="20"/>
  <c r="P247" i="20" s="1"/>
  <c r="P8" i="20"/>
  <c r="P6" i="20"/>
  <c r="P3" i="20"/>
  <c r="P10" i="20"/>
  <c r="N19" i="20"/>
  <c r="O106" i="20"/>
  <c r="O25" i="20"/>
  <c r="L321" i="20"/>
  <c r="N24" i="20"/>
  <c r="N306" i="20"/>
  <c r="N139" i="20"/>
  <c r="N90" i="20"/>
  <c r="O168" i="20"/>
  <c r="N81" i="20"/>
  <c r="N144" i="20"/>
  <c r="N303" i="20"/>
  <c r="N305" i="20"/>
  <c r="N231" i="20"/>
  <c r="O14" i="20"/>
  <c r="N82" i="20"/>
  <c r="N161" i="20"/>
  <c r="N323" i="20"/>
  <c r="O51" i="20"/>
  <c r="N324" i="20"/>
  <c r="O107" i="20"/>
  <c r="N315" i="20"/>
  <c r="N157" i="20"/>
  <c r="N84" i="20"/>
  <c r="N50" i="20"/>
  <c r="N136" i="20"/>
  <c r="N125" i="20"/>
  <c r="N167" i="20"/>
  <c r="N146" i="20"/>
  <c r="O101" i="20"/>
  <c r="N51" i="20"/>
  <c r="N137" i="20"/>
  <c r="N160" i="20"/>
  <c r="N91" i="20"/>
  <c r="N235" i="20"/>
  <c r="N310" i="20"/>
  <c r="N57" i="20"/>
  <c r="N101" i="20"/>
  <c r="N222" i="20"/>
  <c r="L64" i="20"/>
  <c r="L226" i="20"/>
  <c r="L68" i="20"/>
  <c r="L48" i="20"/>
  <c r="N198" i="20"/>
  <c r="L158" i="20"/>
  <c r="L204" i="20"/>
  <c r="N177" i="20"/>
  <c r="L306" i="20"/>
  <c r="N96" i="20"/>
  <c r="L205" i="20"/>
  <c r="L129" i="20"/>
  <c r="N66" i="20"/>
  <c r="L83" i="20"/>
  <c r="N213" i="20"/>
  <c r="L43" i="20"/>
  <c r="N28" i="20"/>
  <c r="L132" i="20"/>
  <c r="L58" i="20"/>
  <c r="N114" i="20"/>
  <c r="N27" i="20"/>
  <c r="N185" i="20"/>
  <c r="N153" i="20"/>
  <c r="N147" i="20"/>
  <c r="L77" i="20"/>
  <c r="N112" i="20"/>
  <c r="N164" i="20"/>
  <c r="N61" i="20"/>
  <c r="L166" i="20"/>
  <c r="N224" i="20"/>
  <c r="N29" i="20"/>
  <c r="L115" i="20"/>
  <c r="L332" i="20"/>
  <c r="L319" i="20"/>
  <c r="L172" i="20"/>
  <c r="L99" i="20"/>
  <c r="L207" i="20"/>
  <c r="N207" i="20"/>
  <c r="N132" i="20"/>
  <c r="N58" i="20"/>
  <c r="L206" i="20"/>
  <c r="N83" i="20"/>
  <c r="L109" i="20"/>
  <c r="N63" i="20"/>
  <c r="L210" i="20"/>
  <c r="L69" i="20"/>
  <c r="L90" i="20"/>
  <c r="N129" i="20"/>
  <c r="L159" i="20"/>
  <c r="N60" i="20"/>
  <c r="N22" i="20"/>
  <c r="N20" i="20"/>
  <c r="O30" i="20"/>
  <c r="L315" i="20"/>
  <c r="L200" i="20"/>
  <c r="L218" i="20"/>
  <c r="N53" i="20"/>
  <c r="N333" i="20"/>
  <c r="L80" i="20"/>
  <c r="L314" i="20"/>
  <c r="O176" i="20"/>
  <c r="O171" i="20"/>
  <c r="N36" i="20"/>
  <c r="N189" i="20"/>
  <c r="N71" i="20"/>
  <c r="N12" i="20"/>
  <c r="T12" i="20" s="1"/>
  <c r="O52" i="20"/>
  <c r="O12" i="20"/>
  <c r="O108" i="20"/>
  <c r="O97" i="20"/>
  <c r="O15" i="20"/>
  <c r="N43" i="20"/>
  <c r="L173" i="20"/>
  <c r="L234" i="20"/>
  <c r="N100" i="20"/>
  <c r="N109" i="20"/>
  <c r="N124" i="20"/>
  <c r="L214" i="20"/>
  <c r="L74" i="20"/>
  <c r="N186" i="20"/>
  <c r="L219" i="20"/>
  <c r="L307" i="20"/>
  <c r="N184" i="20"/>
  <c r="N142" i="20"/>
  <c r="N170" i="20"/>
  <c r="N220" i="20"/>
  <c r="L153" i="20"/>
  <c r="N166" i="20"/>
  <c r="L216" i="20"/>
  <c r="L26" i="20"/>
  <c r="N122" i="20"/>
  <c r="N219" i="20"/>
  <c r="L162" i="20"/>
  <c r="N108" i="20"/>
  <c r="L201" i="20"/>
  <c r="N92" i="20"/>
  <c r="N69" i="20"/>
  <c r="N14" i="20"/>
  <c r="N74" i="20"/>
  <c r="L62" i="20"/>
  <c r="L323" i="20"/>
  <c r="O100" i="20"/>
  <c r="O53" i="20"/>
  <c r="N233" i="20"/>
  <c r="O98" i="20"/>
  <c r="N176" i="20"/>
  <c r="O109" i="20"/>
  <c r="N322" i="20"/>
  <c r="N143" i="20"/>
  <c r="L105" i="20"/>
  <c r="N311" i="20"/>
  <c r="O110" i="20"/>
  <c r="N141" i="20"/>
  <c r="O181" i="20"/>
  <c r="O157" i="20"/>
  <c r="O149" i="20"/>
  <c r="O141" i="20"/>
  <c r="O133" i="20"/>
  <c r="O125" i="20"/>
  <c r="O117" i="20"/>
  <c r="O93" i="20"/>
  <c r="O85" i="20"/>
  <c r="O77" i="20"/>
  <c r="O69" i="20"/>
  <c r="O186" i="20"/>
  <c r="O178" i="20"/>
  <c r="O154" i="20"/>
  <c r="O146" i="20"/>
  <c r="P146" i="20" s="1"/>
  <c r="O138" i="20"/>
  <c r="O130" i="20"/>
  <c r="O122" i="20"/>
  <c r="O114" i="20"/>
  <c r="O90" i="20"/>
  <c r="O82" i="20"/>
  <c r="O74" i="20"/>
  <c r="O66" i="20"/>
  <c r="O185" i="20"/>
  <c r="O177" i="20"/>
  <c r="O161" i="20"/>
  <c r="O153" i="20"/>
  <c r="O145" i="20"/>
  <c r="O137" i="20"/>
  <c r="O129" i="20"/>
  <c r="O121" i="20"/>
  <c r="O113" i="20"/>
  <c r="O89" i="20"/>
  <c r="O81" i="20"/>
  <c r="O73" i="20"/>
  <c r="O65" i="20"/>
  <c r="O184" i="20"/>
  <c r="O160" i="20"/>
  <c r="P160" i="20" s="1"/>
  <c r="O152" i="20"/>
  <c r="O144" i="20"/>
  <c r="O136" i="20"/>
  <c r="O128" i="20"/>
  <c r="O120" i="20"/>
  <c r="O112" i="20"/>
  <c r="O88" i="20"/>
  <c r="O80" i="20"/>
  <c r="O72" i="20"/>
  <c r="O64" i="20"/>
  <c r="O79" i="20"/>
  <c r="O94" i="20"/>
  <c r="O151" i="20"/>
  <c r="O134" i="20"/>
  <c r="O116" i="20"/>
  <c r="O182" i="20"/>
  <c r="O147" i="20"/>
  <c r="O127" i="20"/>
  <c r="O115" i="20"/>
  <c r="O95" i="20"/>
  <c r="O78" i="20"/>
  <c r="O75" i="20"/>
  <c r="O150" i="20"/>
  <c r="P150" i="20" s="1"/>
  <c r="O132" i="20"/>
  <c r="O183" i="20"/>
  <c r="O131" i="20"/>
  <c r="O76" i="20"/>
  <c r="O148" i="20"/>
  <c r="O92" i="20"/>
  <c r="O158" i="20"/>
  <c r="O124" i="20"/>
  <c r="O180" i="20"/>
  <c r="O179" i="20"/>
  <c r="O118" i="20"/>
  <c r="O135" i="20"/>
  <c r="P135" i="20" s="1"/>
  <c r="O68" i="20"/>
  <c r="O156" i="20"/>
  <c r="O155" i="20"/>
  <c r="O143" i="20"/>
  <c r="P143" i="20" s="1"/>
  <c r="O84" i="20"/>
  <c r="O67" i="20"/>
  <c r="O126" i="20"/>
  <c r="O87" i="20"/>
  <c r="P87" i="20" s="1"/>
  <c r="O119" i="20"/>
  <c r="O142" i="20"/>
  <c r="P142" i="20" s="1"/>
  <c r="O159" i="20"/>
  <c r="O91" i="20"/>
  <c r="O123" i="20"/>
  <c r="O86" i="20"/>
  <c r="O83" i="20"/>
  <c r="O70" i="20"/>
  <c r="O140" i="20"/>
  <c r="P140" i="20" s="1"/>
  <c r="O139" i="20"/>
  <c r="P139" i="20" s="1"/>
  <c r="O71" i="20"/>
  <c r="L232" i="20"/>
  <c r="N181" i="20"/>
  <c r="L331" i="20"/>
  <c r="L126" i="20"/>
  <c r="L72" i="20"/>
  <c r="L155" i="20"/>
  <c r="L125" i="20"/>
  <c r="N133" i="20"/>
  <c r="L114" i="20"/>
  <c r="L170" i="20"/>
  <c r="L203" i="20"/>
  <c r="L309" i="20"/>
  <c r="N40" i="20"/>
  <c r="L183" i="20"/>
  <c r="L168" i="20"/>
  <c r="L76" i="20"/>
  <c r="N44" i="20"/>
  <c r="N205" i="20"/>
  <c r="N89" i="20"/>
  <c r="L188" i="20"/>
  <c r="L12" i="20"/>
  <c r="N23" i="20"/>
  <c r="L51" i="20"/>
  <c r="L296" i="20"/>
  <c r="O164" i="20"/>
  <c r="L329" i="20"/>
  <c r="L124" i="20"/>
  <c r="L181" i="20"/>
  <c r="N126" i="20"/>
  <c r="L197" i="20"/>
  <c r="L163" i="20"/>
  <c r="L86" i="20"/>
  <c r="L121" i="20"/>
  <c r="N113" i="20"/>
  <c r="L70" i="20"/>
  <c r="N78" i="20"/>
  <c r="L127" i="20"/>
  <c r="N206" i="20"/>
  <c r="N191" i="20"/>
  <c r="L53" i="20"/>
  <c r="N195" i="20"/>
  <c r="N156" i="20"/>
  <c r="N104" i="20"/>
  <c r="L45" i="20"/>
  <c r="L59" i="20"/>
  <c r="L118" i="20"/>
  <c r="L300" i="20"/>
  <c r="L297" i="20"/>
  <c r="N227" i="20"/>
  <c r="L40" i="20"/>
  <c r="O31" i="20"/>
  <c r="O13" i="20"/>
  <c r="P13" i="20" s="1"/>
  <c r="O166" i="20"/>
  <c r="L327" i="20"/>
  <c r="L325" i="20"/>
  <c r="L89" i="20"/>
  <c r="N107" i="20"/>
  <c r="N215" i="20"/>
  <c r="N102" i="20"/>
  <c r="N87" i="20"/>
  <c r="L79" i="20"/>
  <c r="N41" i="20"/>
  <c r="L180" i="20"/>
  <c r="L113" i="20"/>
  <c r="L54" i="20"/>
  <c r="N162" i="20"/>
  <c r="L75" i="20"/>
  <c r="L169" i="20"/>
  <c r="N204" i="20"/>
  <c r="L177" i="20"/>
  <c r="N134" i="20"/>
  <c r="L167" i="20"/>
  <c r="L229" i="20"/>
  <c r="N39" i="20"/>
  <c r="L15" i="20"/>
  <c r="L301" i="20"/>
  <c r="L298" i="20"/>
  <c r="O45" i="20"/>
  <c r="O37" i="20"/>
  <c r="O42" i="20"/>
  <c r="O34" i="20"/>
  <c r="P34" i="20" s="1"/>
  <c r="O49" i="20"/>
  <c r="O41" i="20"/>
  <c r="O33" i="20"/>
  <c r="P33" i="20" s="1"/>
  <c r="O48" i="20"/>
  <c r="O40" i="20"/>
  <c r="O32" i="20"/>
  <c r="P32" i="20" s="1"/>
  <c r="O46" i="20"/>
  <c r="O44" i="20"/>
  <c r="O39" i="20"/>
  <c r="O43" i="20"/>
  <c r="O38" i="20"/>
  <c r="O35" i="20"/>
  <c r="P35" i="20" s="1"/>
  <c r="O36" i="20"/>
  <c r="P36" i="20" s="1"/>
  <c r="O47" i="20"/>
  <c r="L185" i="20"/>
  <c r="L52" i="20"/>
  <c r="O28" i="20"/>
  <c r="O102" i="20"/>
  <c r="L171" i="20"/>
  <c r="L223" i="20"/>
  <c r="L212" i="20"/>
  <c r="N80" i="20"/>
  <c r="L84" i="20"/>
  <c r="L184" i="20"/>
  <c r="L41" i="20"/>
  <c r="N226" i="20"/>
  <c r="L63" i="20"/>
  <c r="N62" i="20"/>
  <c r="L182" i="20"/>
  <c r="N75" i="20"/>
  <c r="N183" i="20"/>
  <c r="L85" i="20"/>
  <c r="N42" i="20"/>
  <c r="N187" i="20"/>
  <c r="N37" i="20"/>
  <c r="N76" i="20"/>
  <c r="L81" i="20"/>
  <c r="N38" i="20"/>
  <c r="L103" i="20"/>
  <c r="N229" i="20"/>
  <c r="L88" i="20"/>
  <c r="L299" i="20"/>
  <c r="L191" i="20"/>
  <c r="L119" i="20"/>
  <c r="N131" i="20"/>
  <c r="L213" i="20"/>
  <c r="N93" i="20"/>
  <c r="L46" i="20"/>
  <c r="L67" i="20"/>
  <c r="L39" i="20"/>
  <c r="N223" i="20"/>
  <c r="L106" i="20"/>
  <c r="N218" i="20"/>
  <c r="L61" i="20"/>
  <c r="N158" i="20"/>
  <c r="L96" i="20"/>
  <c r="L161" i="20"/>
  <c r="N13" i="20"/>
  <c r="O111" i="20"/>
  <c r="N312" i="20"/>
  <c r="N318" i="20"/>
  <c r="L317" i="20"/>
  <c r="N328" i="20"/>
  <c r="L313" i="20"/>
  <c r="L316" i="20"/>
  <c r="N171" i="20"/>
  <c r="N159" i="20"/>
  <c r="L110" i="20"/>
  <c r="N200" i="20"/>
  <c r="N130" i="20"/>
  <c r="L165" i="20"/>
  <c r="L305" i="20"/>
  <c r="L91" i="20"/>
  <c r="N190" i="20"/>
  <c r="L222" i="20"/>
  <c r="L93" i="20"/>
  <c r="N25" i="20"/>
  <c r="L154" i="20"/>
  <c r="L117" i="20"/>
  <c r="N168" i="20"/>
  <c r="L44" i="20"/>
  <c r="N32" i="20"/>
  <c r="L208" i="20"/>
  <c r="N179" i="20"/>
  <c r="O174" i="20"/>
  <c r="L102" i="20"/>
  <c r="O333" i="20"/>
  <c r="O325" i="20"/>
  <c r="O317" i="20"/>
  <c r="O309" i="20"/>
  <c r="O330" i="20"/>
  <c r="O322" i="20"/>
  <c r="O314" i="20"/>
  <c r="O306" i="20"/>
  <c r="O329" i="20"/>
  <c r="O321" i="20"/>
  <c r="O313" i="20"/>
  <c r="O305" i="20"/>
  <c r="O328" i="20"/>
  <c r="O320" i="20"/>
  <c r="O312" i="20"/>
  <c r="O304" i="20"/>
  <c r="P304" i="20" s="1"/>
  <c r="O326" i="20"/>
  <c r="O318" i="20"/>
  <c r="P318" i="20" s="1"/>
  <c r="O310" i="20"/>
  <c r="O332" i="20"/>
  <c r="O331" i="20"/>
  <c r="O303" i="20"/>
  <c r="P303" i="20" s="1"/>
  <c r="O319" i="20"/>
  <c r="O327" i="20"/>
  <c r="O324" i="20"/>
  <c r="O323" i="20"/>
  <c r="O308" i="20"/>
  <c r="P308" i="20" s="1"/>
  <c r="O316" i="20"/>
  <c r="O311" i="20"/>
  <c r="O307" i="20"/>
  <c r="O315" i="20"/>
  <c r="N119" i="20"/>
  <c r="N55" i="20"/>
  <c r="L190" i="20"/>
  <c r="L194" i="20"/>
  <c r="N214" i="20"/>
  <c r="N148" i="20"/>
  <c r="L233" i="20"/>
  <c r="L230" i="20"/>
  <c r="L199" i="20"/>
  <c r="N209" i="20"/>
  <c r="L101" i="20"/>
  <c r="N70" i="20"/>
  <c r="N105" i="20"/>
  <c r="L108" i="20"/>
  <c r="N201" i="20"/>
  <c r="N106" i="20"/>
  <c r="N154" i="20"/>
  <c r="L156" i="20"/>
  <c r="L104" i="20"/>
  <c r="L179" i="20"/>
  <c r="N34" i="20"/>
  <c r="N188" i="20"/>
  <c r="L73" i="20"/>
  <c r="L295" i="20"/>
  <c r="N225" i="20"/>
  <c r="L217" i="20"/>
  <c r="N128" i="20"/>
  <c r="L120" i="20"/>
  <c r="O96" i="20"/>
  <c r="N330" i="20"/>
  <c r="N327" i="20"/>
  <c r="L94" i="20"/>
  <c r="N230" i="20"/>
  <c r="L189" i="20"/>
  <c r="L164" i="20"/>
  <c r="L112" i="20"/>
  <c r="L98" i="20"/>
  <c r="N52" i="20"/>
  <c r="L37" i="20"/>
  <c r="N210" i="20"/>
  <c r="L123" i="20"/>
  <c r="L29" i="20"/>
  <c r="N202" i="20"/>
  <c r="N123" i="20"/>
  <c r="N331" i="20"/>
  <c r="L133" i="20"/>
  <c r="N140" i="20"/>
  <c r="N228" i="20"/>
  <c r="O221" i="20"/>
  <c r="O226" i="20"/>
  <c r="O218" i="20"/>
  <c r="O225" i="20"/>
  <c r="P225" i="20" s="1"/>
  <c r="O217" i="20"/>
  <c r="O224" i="20"/>
  <c r="P224" i="20" s="1"/>
  <c r="O216" i="20"/>
  <c r="O223" i="20"/>
  <c r="O219" i="20"/>
  <c r="O220" i="20"/>
  <c r="O222" i="20"/>
  <c r="O227" i="20"/>
  <c r="P227" i="20" s="1"/>
  <c r="L324" i="20"/>
  <c r="L178" i="20"/>
  <c r="N182" i="20"/>
  <c r="N304" i="20"/>
  <c r="L330" i="20"/>
  <c r="L55" i="20"/>
  <c r="L202" i="20"/>
  <c r="L82" i="20"/>
  <c r="O293" i="20"/>
  <c r="O285" i="20"/>
  <c r="O277" i="20"/>
  <c r="O269" i="20"/>
  <c r="O261" i="20"/>
  <c r="P261" i="20" s="1"/>
  <c r="O253" i="20"/>
  <c r="O245" i="20"/>
  <c r="O290" i="20"/>
  <c r="O282" i="20"/>
  <c r="O274" i="20"/>
  <c r="O266" i="20"/>
  <c r="O258" i="20"/>
  <c r="O250" i="20"/>
  <c r="O242" i="20"/>
  <c r="P242" i="20" s="1"/>
  <c r="O289" i="20"/>
  <c r="O281" i="20"/>
  <c r="O273" i="20"/>
  <c r="O265" i="20"/>
  <c r="O257" i="20"/>
  <c r="O241" i="20"/>
  <c r="P241" i="20" s="1"/>
  <c r="O288" i="20"/>
  <c r="O280" i="20"/>
  <c r="O272" i="20"/>
  <c r="O264" i="20"/>
  <c r="O256" i="20"/>
  <c r="O240" i="20"/>
  <c r="P240" i="20" s="1"/>
  <c r="O294" i="20"/>
  <c r="O278" i="20"/>
  <c r="O268" i="20"/>
  <c r="O276" i="20"/>
  <c r="O254" i="20"/>
  <c r="O238" i="20"/>
  <c r="P238" i="20" s="1"/>
  <c r="O275" i="20"/>
  <c r="O252" i="20"/>
  <c r="O271" i="20"/>
  <c r="O251" i="20"/>
  <c r="O270" i="20"/>
  <c r="O284" i="20"/>
  <c r="O244" i="20"/>
  <c r="P244" i="20" s="1"/>
  <c r="O267" i="20"/>
  <c r="O262" i="20"/>
  <c r="O259" i="20"/>
  <c r="O291" i="20"/>
  <c r="O283" i="20"/>
  <c r="O263" i="20"/>
  <c r="O239" i="20"/>
  <c r="P239" i="20" s="1"/>
  <c r="O255" i="20"/>
  <c r="O279" i="20"/>
  <c r="O243" i="20"/>
  <c r="O260" i="20"/>
  <c r="P260" i="20" s="1"/>
  <c r="O292" i="20"/>
  <c r="O287" i="20"/>
  <c r="O286" i="20"/>
  <c r="O246" i="20"/>
  <c r="N118" i="20"/>
  <c r="L186" i="20"/>
  <c r="L66" i="20"/>
  <c r="N99" i="20"/>
  <c r="L50" i="20"/>
  <c r="L310" i="20"/>
  <c r="L107" i="20"/>
  <c r="L320" i="20"/>
  <c r="O99" i="20"/>
  <c r="L31" i="20"/>
  <c r="L27" i="20"/>
  <c r="O50" i="20"/>
  <c r="O26" i="20"/>
  <c r="O173" i="20"/>
  <c r="L116" i="20"/>
  <c r="L157" i="20"/>
  <c r="N172" i="20"/>
  <c r="N110" i="20"/>
  <c r="L192" i="20"/>
  <c r="L221" i="20"/>
  <c r="N49" i="20"/>
  <c r="N79" i="20"/>
  <c r="N86" i="20"/>
  <c r="N199" i="20"/>
  <c r="N180" i="20"/>
  <c r="L176" i="20"/>
  <c r="L30" i="20"/>
  <c r="N33" i="20"/>
  <c r="N68" i="20"/>
  <c r="N48" i="20"/>
  <c r="L92" i="20"/>
  <c r="L42" i="20"/>
  <c r="L187" i="20"/>
  <c r="L175" i="20"/>
  <c r="N67" i="20"/>
  <c r="L60" i="20"/>
  <c r="N308" i="20"/>
  <c r="N208" i="20"/>
  <c r="L231" i="20"/>
  <c r="N73" i="20"/>
  <c r="L14" i="20"/>
  <c r="N15" i="20"/>
  <c r="O27" i="20"/>
  <c r="N65" i="20"/>
  <c r="N94" i="20"/>
  <c r="L195" i="20"/>
  <c r="O213" i="20"/>
  <c r="O205" i="20"/>
  <c r="O197" i="20"/>
  <c r="O189" i="20"/>
  <c r="O210" i="20"/>
  <c r="O202" i="20"/>
  <c r="O194" i="20"/>
  <c r="O209" i="20"/>
  <c r="O201" i="20"/>
  <c r="O193" i="20"/>
  <c r="O208" i="20"/>
  <c r="O200" i="20"/>
  <c r="O192" i="20"/>
  <c r="O206" i="20"/>
  <c r="O188" i="20"/>
  <c r="O199" i="20"/>
  <c r="O187" i="20"/>
  <c r="O204" i="20"/>
  <c r="O203" i="20"/>
  <c r="O196" i="20"/>
  <c r="O191" i="20"/>
  <c r="O190" i="20"/>
  <c r="O195" i="20"/>
  <c r="O215" i="20"/>
  <c r="O214" i="20"/>
  <c r="O212" i="20"/>
  <c r="O211" i="20"/>
  <c r="O198" i="20"/>
  <c r="O207" i="20"/>
  <c r="N115" i="20"/>
  <c r="L193" i="20"/>
  <c r="N138" i="20"/>
  <c r="N64" i="20"/>
  <c r="N175" i="20"/>
  <c r="O104" i="20"/>
  <c r="O61" i="20"/>
  <c r="O58" i="20"/>
  <c r="O57" i="20"/>
  <c r="O56" i="20"/>
  <c r="O62" i="20"/>
  <c r="O60" i="20"/>
  <c r="O59" i="20"/>
  <c r="O55" i="20"/>
  <c r="O63" i="20"/>
  <c r="N321" i="20"/>
  <c r="L328" i="20"/>
  <c r="L174" i="20"/>
  <c r="L211" i="20"/>
  <c r="O29" i="20"/>
  <c r="N212" i="20"/>
  <c r="N165" i="20"/>
  <c r="L49" i="20"/>
  <c r="N121" i="20"/>
  <c r="L209" i="20"/>
  <c r="O172" i="20"/>
  <c r="O237" i="20"/>
  <c r="O229" i="20"/>
  <c r="O234" i="20"/>
  <c r="O233" i="20"/>
  <c r="O232" i="20"/>
  <c r="O235" i="20"/>
  <c r="P235" i="20" s="1"/>
  <c r="O236" i="20"/>
  <c r="P236" i="20" s="1"/>
  <c r="O228" i="20"/>
  <c r="O231" i="20"/>
  <c r="O230" i="20"/>
  <c r="O162" i="20"/>
  <c r="O105" i="20"/>
  <c r="L312" i="20"/>
  <c r="N326" i="20"/>
  <c r="N26" i="20"/>
  <c r="N197" i="20"/>
  <c r="L311" i="20"/>
  <c r="L57" i="20"/>
  <c r="N221" i="20"/>
  <c r="N196" i="20"/>
  <c r="N192" i="20"/>
  <c r="N234" i="20"/>
  <c r="L78" i="20"/>
  <c r="N135" i="20"/>
  <c r="N120" i="20"/>
  <c r="N149" i="20"/>
  <c r="N203" i="20"/>
  <c r="N309" i="20"/>
  <c r="L198" i="20"/>
  <c r="N97" i="20"/>
  <c r="L220" i="20"/>
  <c r="N193" i="20"/>
  <c r="L131" i="20"/>
  <c r="L47" i="20"/>
  <c r="N98" i="20"/>
  <c r="L134" i="20"/>
  <c r="N216" i="20"/>
  <c r="L228" i="20"/>
  <c r="N152" i="20"/>
  <c r="N236" i="20"/>
  <c r="L326" i="20"/>
  <c r="L95" i="20"/>
  <c r="L28" i="20"/>
  <c r="L122" i="20"/>
  <c r="L56" i="20"/>
  <c r="N155" i="20"/>
  <c r="N56" i="20"/>
  <c r="O54" i="20"/>
  <c r="O169" i="20"/>
  <c r="O163" i="20"/>
  <c r="O16" i="20"/>
  <c r="P16" i="20" s="1"/>
  <c r="L322" i="20"/>
  <c r="N320" i="20"/>
  <c r="N145" i="20"/>
  <c r="N194" i="20"/>
  <c r="L215" i="20"/>
  <c r="L237" i="20"/>
  <c r="L196" i="20"/>
  <c r="N72" i="20"/>
  <c r="L100" i="20"/>
  <c r="L128" i="20"/>
  <c r="N178" i="20"/>
  <c r="L71" i="20"/>
  <c r="L111" i="20"/>
  <c r="N211" i="20"/>
  <c r="N30" i="20"/>
  <c r="L25" i="20"/>
  <c r="L97" i="20"/>
  <c r="N45" i="20"/>
  <c r="L38" i="20"/>
  <c r="N111" i="20"/>
  <c r="L152" i="20"/>
  <c r="N88" i="20"/>
  <c r="N150" i="20"/>
  <c r="N59" i="20"/>
  <c r="N21" i="20"/>
  <c r="L249" i="20"/>
  <c r="C19" i="21"/>
  <c r="Q335" i="20"/>
  <c r="H26" i="21" s="1"/>
  <c r="H27" i="21" s="1"/>
  <c r="H28" i="21" s="1"/>
  <c r="H29" i="21" s="1"/>
  <c r="H30" i="21" s="1"/>
  <c r="H31" i="21" s="1"/>
  <c r="P149" i="20" l="1"/>
  <c r="P141" i="20"/>
  <c r="P138" i="20"/>
  <c r="P148" i="20"/>
  <c r="P147" i="20"/>
  <c r="P136" i="20"/>
  <c r="P145" i="20"/>
  <c r="P137" i="20"/>
  <c r="P144" i="20"/>
  <c r="D38" i="22"/>
  <c r="P237" i="20"/>
  <c r="H32" i="21"/>
  <c r="S24" i="20"/>
  <c r="T24" i="20"/>
  <c r="V24" i="20" s="1"/>
  <c r="D20" i="14"/>
  <c r="B299" i="16"/>
  <c r="B298" i="16"/>
  <c r="B39" i="16"/>
  <c r="B38" i="16"/>
  <c r="B37" i="16"/>
  <c r="B36" i="16"/>
  <c r="B35" i="16"/>
  <c r="B34" i="16"/>
  <c r="B33" i="16"/>
  <c r="D32" i="16"/>
  <c r="C32" i="16"/>
  <c r="D23" i="16"/>
  <c r="C23" i="16"/>
  <c r="D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96" i="14" l="1"/>
  <c r="D119" i="25" s="1"/>
  <c r="E95" i="14"/>
  <c r="D118" i="25" s="1"/>
  <c r="E94" i="14"/>
  <c r="D117" i="25" s="1"/>
  <c r="E90" i="14"/>
  <c r="D113" i="25" s="1"/>
  <c r="E93" i="14"/>
  <c r="D116" i="25" s="1"/>
  <c r="E92" i="14"/>
  <c r="D115" i="25" s="1"/>
  <c r="E91" i="14"/>
  <c r="D114" i="25" s="1"/>
  <c r="E97" i="14"/>
  <c r="D120" i="25" s="1"/>
  <c r="E19" i="14"/>
  <c r="E72" i="12"/>
  <c r="E64" i="12"/>
  <c r="E71" i="12"/>
  <c r="E63" i="12"/>
  <c r="E20" i="12"/>
  <c r="E70" i="12"/>
  <c r="E69" i="12"/>
  <c r="E68" i="12"/>
  <c r="E67" i="12"/>
  <c r="E74" i="12"/>
  <c r="E73" i="12"/>
  <c r="E65" i="12"/>
  <c r="E66" i="12"/>
  <c r="H34" i="21"/>
  <c r="B25" i="14"/>
  <c r="D48" i="25"/>
  <c r="B26" i="14"/>
  <c r="D49" i="25"/>
  <c r="B27" i="14"/>
  <c r="D50" i="25"/>
  <c r="B28" i="14"/>
  <c r="D51" i="25"/>
  <c r="B30" i="14"/>
  <c r="D53" i="25"/>
  <c r="T290" i="20"/>
  <c r="V290" i="20" s="1"/>
  <c r="T291" i="20"/>
  <c r="V291" i="20" s="1"/>
  <c r="T292" i="20"/>
  <c r="V292" i="20" s="1"/>
  <c r="T293" i="20"/>
  <c r="V293" i="20" s="1"/>
  <c r="T294" i="20"/>
  <c r="V294" i="20" s="1"/>
  <c r="T295" i="20"/>
  <c r="B16" i="14"/>
  <c r="A107" i="14"/>
  <c r="A106" i="14"/>
  <c r="A105" i="14"/>
  <c r="A104" i="14"/>
  <c r="A103" i="14"/>
  <c r="A102" i="14"/>
  <c r="A101" i="14"/>
  <c r="T301" i="20"/>
  <c r="V301" i="20" s="1"/>
  <c r="T297" i="20"/>
  <c r="T289" i="20"/>
  <c r="V289" i="20" s="1"/>
  <c r="T287" i="20"/>
  <c r="V287" i="20" s="1"/>
  <c r="T283" i="20"/>
  <c r="V283" i="20" s="1"/>
  <c r="T279" i="20"/>
  <c r="V279" i="20" s="1"/>
  <c r="T277" i="20"/>
  <c r="V277" i="20" s="1"/>
  <c r="T275" i="20"/>
  <c r="V275" i="20" s="1"/>
  <c r="T273" i="20"/>
  <c r="T271" i="20"/>
  <c r="V271" i="20" s="1"/>
  <c r="T269" i="20"/>
  <c r="V269" i="20" s="1"/>
  <c r="T267" i="20"/>
  <c r="T265" i="20"/>
  <c r="V265" i="20" s="1"/>
  <c r="T263" i="20"/>
  <c r="V263" i="20" s="1"/>
  <c r="T261" i="20"/>
  <c r="V261" i="20" s="1"/>
  <c r="T259" i="20"/>
  <c r="V259" i="20" s="1"/>
  <c r="T258" i="20"/>
  <c r="V258" i="20" s="1"/>
  <c r="T256" i="20"/>
  <c r="T254" i="20"/>
  <c r="T250" i="20"/>
  <c r="T246" i="20"/>
  <c r="V246" i="20" s="1"/>
  <c r="T242" i="20"/>
  <c r="T238" i="20"/>
  <c r="B97" i="14"/>
  <c r="B96" i="14"/>
  <c r="B95" i="14"/>
  <c r="B94" i="14"/>
  <c r="B93" i="14"/>
  <c r="B92" i="14"/>
  <c r="B90" i="14"/>
  <c r="D111" i="25"/>
  <c r="B88" i="14"/>
  <c r="B87" i="14"/>
  <c r="B86" i="14"/>
  <c r="B85" i="14"/>
  <c r="B84" i="14"/>
  <c r="B83" i="14"/>
  <c r="B82" i="14"/>
  <c r="B81" i="14"/>
  <c r="B80" i="14"/>
  <c r="B79" i="14"/>
  <c r="B78" i="14"/>
  <c r="B77" i="14"/>
  <c r="B76" i="14"/>
  <c r="D98" i="25"/>
  <c r="B75" i="14"/>
  <c r="D97" i="25"/>
  <c r="B74" i="14"/>
  <c r="B72" i="14"/>
  <c r="D94" i="25"/>
  <c r="B71" i="14"/>
  <c r="D93" i="25"/>
  <c r="B70" i="14"/>
  <c r="D92" i="25"/>
  <c r="B69" i="14"/>
  <c r="D91" i="25"/>
  <c r="B68" i="14"/>
  <c r="D89" i="25"/>
  <c r="B66" i="14"/>
  <c r="D88" i="25"/>
  <c r="B65" i="14"/>
  <c r="D87" i="25"/>
  <c r="B64" i="14"/>
  <c r="D86" i="25"/>
  <c r="B63" i="14"/>
  <c r="D85" i="25"/>
  <c r="B62" i="14"/>
  <c r="B61" i="14"/>
  <c r="D83" i="25"/>
  <c r="B60" i="14"/>
  <c r="D82" i="25"/>
  <c r="B59" i="14"/>
  <c r="D81" i="25"/>
  <c r="B58" i="14"/>
  <c r="D80" i="25"/>
  <c r="B57" i="14"/>
  <c r="D79" i="25"/>
  <c r="B56" i="14"/>
  <c r="D78" i="25"/>
  <c r="B55" i="14"/>
  <c r="D77" i="25"/>
  <c r="B54" i="14"/>
  <c r="D74" i="25"/>
  <c r="B51" i="14"/>
  <c r="D73" i="25"/>
  <c r="B50" i="14"/>
  <c r="D72" i="25"/>
  <c r="B49" i="14"/>
  <c r="D71" i="25"/>
  <c r="B48" i="14"/>
  <c r="D70" i="25"/>
  <c r="B47" i="14"/>
  <c r="D69" i="25"/>
  <c r="B46" i="14"/>
  <c r="D68" i="25"/>
  <c r="B45" i="14"/>
  <c r="D66" i="25"/>
  <c r="B43" i="14"/>
  <c r="D65" i="25"/>
  <c r="B42" i="14"/>
  <c r="D63" i="25"/>
  <c r="B40" i="14"/>
  <c r="D62" i="25"/>
  <c r="B39" i="14"/>
  <c r="D60" i="25"/>
  <c r="B37" i="14"/>
  <c r="D59" i="25"/>
  <c r="B36" i="14"/>
  <c r="B35" i="14"/>
  <c r="D56" i="25"/>
  <c r="B33" i="14"/>
  <c r="D55" i="25"/>
  <c r="B32" i="14"/>
  <c r="D54" i="25"/>
  <c r="B31" i="14"/>
  <c r="D47" i="25"/>
  <c r="B24" i="14"/>
  <c r="B17" i="14"/>
  <c r="B15" i="14"/>
  <c r="B14" i="14"/>
  <c r="B13" i="14"/>
  <c r="A65" i="13"/>
  <c r="A64" i="13"/>
  <c r="A63" i="13"/>
  <c r="A62" i="13"/>
  <c r="A61" i="13"/>
  <c r="A60" i="13"/>
  <c r="A59" i="13"/>
  <c r="T330" i="20"/>
  <c r="T322" i="20"/>
  <c r="V322" i="20" s="1"/>
  <c r="B55" i="13"/>
  <c r="B345" i="22" s="1"/>
  <c r="B54" i="13"/>
  <c r="B344" i="22" s="1"/>
  <c r="B53" i="13"/>
  <c r="B343" i="22" s="1"/>
  <c r="B52" i="13"/>
  <c r="B342" i="22" s="1"/>
  <c r="B51" i="13"/>
  <c r="B341" i="22" s="1"/>
  <c r="B50" i="13"/>
  <c r="B340" i="22" s="1"/>
  <c r="B48" i="13"/>
  <c r="B338" i="22" s="1"/>
  <c r="B47" i="13"/>
  <c r="B337" i="22" s="1"/>
  <c r="B46" i="13"/>
  <c r="B336" i="22" s="1"/>
  <c r="B45" i="13"/>
  <c r="B335" i="22" s="1"/>
  <c r="B44" i="13"/>
  <c r="B334" i="22" s="1"/>
  <c r="B43" i="13"/>
  <c r="B333" i="22" s="1"/>
  <c r="B42" i="13"/>
  <c r="B332" i="22" s="1"/>
  <c r="B41" i="13"/>
  <c r="B331" i="22" s="1"/>
  <c r="B39" i="13"/>
  <c r="B329" i="22" s="1"/>
  <c r="B38" i="13"/>
  <c r="B328" i="22" s="1"/>
  <c r="B37" i="13"/>
  <c r="B327" i="22" s="1"/>
  <c r="B36" i="13"/>
  <c r="B326" i="22" s="1"/>
  <c r="B35" i="13"/>
  <c r="B325" i="22" s="1"/>
  <c r="B33" i="13"/>
  <c r="B323" i="22" s="1"/>
  <c r="B32" i="13"/>
  <c r="B322" i="22" s="1"/>
  <c r="B31" i="13"/>
  <c r="B321" i="22" s="1"/>
  <c r="B30" i="13"/>
  <c r="B320" i="22" s="1"/>
  <c r="B29" i="13"/>
  <c r="B319" i="22" s="1"/>
  <c r="B27" i="13"/>
  <c r="B317" i="22" s="1"/>
  <c r="B26" i="13"/>
  <c r="B316" i="22" s="1"/>
  <c r="B25" i="13"/>
  <c r="B315" i="22" s="1"/>
  <c r="B24" i="13"/>
  <c r="B314" i="22" s="1"/>
  <c r="B23" i="13"/>
  <c r="B313" i="22" s="1"/>
  <c r="B21" i="13"/>
  <c r="B311" i="22" s="1"/>
  <c r="B20" i="13"/>
  <c r="B310" i="22" s="1"/>
  <c r="D18" i="13"/>
  <c r="C18" i="13"/>
  <c r="B18" i="13"/>
  <c r="B16" i="13"/>
  <c r="B15" i="13"/>
  <c r="B14" i="13"/>
  <c r="B13" i="13"/>
  <c r="T61" i="20"/>
  <c r="T191" i="20"/>
  <c r="T211" i="20"/>
  <c r="T214" i="20"/>
  <c r="B24" i="12"/>
  <c r="B247" i="22" s="1"/>
  <c r="B25" i="12"/>
  <c r="B26" i="12"/>
  <c r="B249" i="22" s="1"/>
  <c r="B27" i="12"/>
  <c r="B250" i="22" s="1"/>
  <c r="B28" i="12"/>
  <c r="B251" i="22" s="1"/>
  <c r="B29" i="12"/>
  <c r="B252" i="22" s="1"/>
  <c r="B30" i="12"/>
  <c r="B253" i="22" s="1"/>
  <c r="B31" i="12"/>
  <c r="B254" i="22" s="1"/>
  <c r="D21" i="12"/>
  <c r="C21" i="12"/>
  <c r="B21" i="12"/>
  <c r="D20" i="12"/>
  <c r="B20" i="12"/>
  <c r="D19" i="12"/>
  <c r="C19" i="12"/>
  <c r="B19" i="12"/>
  <c r="D18" i="12"/>
  <c r="C18" i="12"/>
  <c r="B18" i="12"/>
  <c r="D18" i="9"/>
  <c r="C18" i="9"/>
  <c r="B18" i="9"/>
  <c r="D18" i="10"/>
  <c r="C18" i="10"/>
  <c r="B18" i="10"/>
  <c r="D18" i="11"/>
  <c r="C18" i="11"/>
  <c r="B18" i="11"/>
  <c r="A94" i="12"/>
  <c r="A93" i="12"/>
  <c r="A92" i="12"/>
  <c r="A91" i="12"/>
  <c r="A90" i="12"/>
  <c r="A89" i="12"/>
  <c r="A88" i="12"/>
  <c r="B85" i="12"/>
  <c r="B308" i="22" s="1"/>
  <c r="B84" i="12"/>
  <c r="B307" i="22" s="1"/>
  <c r="B83" i="12"/>
  <c r="B306" i="22" s="1"/>
  <c r="B82" i="12"/>
  <c r="B305" i="22" s="1"/>
  <c r="B81" i="12"/>
  <c r="B304" i="22" s="1"/>
  <c r="B80" i="12"/>
  <c r="B303" i="22" s="1"/>
  <c r="B79" i="12"/>
  <c r="B302" i="22" s="1"/>
  <c r="B78" i="12"/>
  <c r="B301" i="22" s="1"/>
  <c r="B77" i="12"/>
  <c r="B300" i="22" s="1"/>
  <c r="B76" i="12"/>
  <c r="B299" i="22" s="1"/>
  <c r="B74" i="12"/>
  <c r="B297" i="22" s="1"/>
  <c r="B73" i="12"/>
  <c r="B296" i="22" s="1"/>
  <c r="B72" i="12"/>
  <c r="B295" i="22" s="1"/>
  <c r="B71" i="12"/>
  <c r="B294" i="22" s="1"/>
  <c r="B70" i="12"/>
  <c r="B293" i="22" s="1"/>
  <c r="B69" i="12"/>
  <c r="B292" i="22" s="1"/>
  <c r="B68" i="12"/>
  <c r="B291" i="22" s="1"/>
  <c r="B67" i="12"/>
  <c r="B290" i="22" s="1"/>
  <c r="B66" i="12"/>
  <c r="B289" i="22" s="1"/>
  <c r="B65" i="12"/>
  <c r="B288" i="22" s="1"/>
  <c r="B64" i="12"/>
  <c r="B287" i="22" s="1"/>
  <c r="B63" i="12"/>
  <c r="B286" i="22" s="1"/>
  <c r="B61" i="12"/>
  <c r="B284" i="22" s="1"/>
  <c r="B60" i="12"/>
  <c r="B283" i="22" s="1"/>
  <c r="B59" i="12"/>
  <c r="B282" i="22" s="1"/>
  <c r="B58" i="12"/>
  <c r="B281" i="22" s="1"/>
  <c r="B57" i="12"/>
  <c r="B280" i="22" s="1"/>
  <c r="B56" i="12"/>
  <c r="B279" i="22" s="1"/>
  <c r="B55" i="12"/>
  <c r="B278" i="22" s="1"/>
  <c r="B54" i="12"/>
  <c r="B277" i="22" s="1"/>
  <c r="B53" i="12"/>
  <c r="B276" i="22" s="1"/>
  <c r="B52" i="12"/>
  <c r="B275" i="22" s="1"/>
  <c r="B51" i="12"/>
  <c r="B274" i="22" s="1"/>
  <c r="B50" i="12"/>
  <c r="B273" i="22" s="1"/>
  <c r="B49" i="12"/>
  <c r="B272" i="22" s="1"/>
  <c r="B48" i="12"/>
  <c r="B271" i="22" s="1"/>
  <c r="B47" i="12"/>
  <c r="B270" i="22" s="1"/>
  <c r="B46" i="12"/>
  <c r="B269" i="22" s="1"/>
  <c r="B45" i="12"/>
  <c r="B268" i="22" s="1"/>
  <c r="B44" i="12"/>
  <c r="B267" i="22" s="1"/>
  <c r="B43" i="12"/>
  <c r="B266" i="22" s="1"/>
  <c r="B42" i="12"/>
  <c r="B265" i="22" s="1"/>
  <c r="B41" i="12"/>
  <c r="B264" i="22" s="1"/>
  <c r="B40" i="12"/>
  <c r="B263" i="22" s="1"/>
  <c r="B39" i="12"/>
  <c r="B262" i="22" s="1"/>
  <c r="B38" i="12"/>
  <c r="B261" i="22" s="1"/>
  <c r="B37" i="12"/>
  <c r="B260" i="22" s="1"/>
  <c r="B36" i="12"/>
  <c r="B259" i="22" s="1"/>
  <c r="B35" i="12"/>
  <c r="B258" i="22" s="1"/>
  <c r="B34" i="12"/>
  <c r="B257" i="22" s="1"/>
  <c r="B33" i="12"/>
  <c r="B256" i="22" s="1"/>
  <c r="B23" i="12"/>
  <c r="B246" i="22" s="1"/>
  <c r="B16" i="12"/>
  <c r="B15" i="12"/>
  <c r="B14" i="12"/>
  <c r="B13" i="12"/>
  <c r="A47" i="11"/>
  <c r="A46" i="11"/>
  <c r="A45" i="11"/>
  <c r="A44" i="11"/>
  <c r="A43" i="11"/>
  <c r="A42" i="11"/>
  <c r="A41" i="11"/>
  <c r="B37" i="11"/>
  <c r="B244" i="22" s="1"/>
  <c r="B36" i="11"/>
  <c r="B243" i="22" s="1"/>
  <c r="B35" i="11"/>
  <c r="B242" i="22" s="1"/>
  <c r="B34" i="11"/>
  <c r="B241" i="22" s="1"/>
  <c r="B33" i="11"/>
  <c r="B240" i="22" s="1"/>
  <c r="B32" i="11"/>
  <c r="B239" i="22" s="1"/>
  <c r="B31" i="11"/>
  <c r="B238" i="22" s="1"/>
  <c r="B30" i="11"/>
  <c r="B237" i="22" s="1"/>
  <c r="B29" i="11"/>
  <c r="B236" i="22" s="1"/>
  <c r="B28" i="11"/>
  <c r="B235" i="22" s="1"/>
  <c r="B27" i="11"/>
  <c r="B234" i="22" s="1"/>
  <c r="B26" i="11"/>
  <c r="B233" i="22" s="1"/>
  <c r="B25" i="11"/>
  <c r="B232" i="22" s="1"/>
  <c r="B24" i="11"/>
  <c r="B231" i="22" s="1"/>
  <c r="B23" i="11"/>
  <c r="B230" i="22" s="1"/>
  <c r="B22" i="11"/>
  <c r="B229" i="22" s="1"/>
  <c r="B21" i="11"/>
  <c r="B228" i="22" s="1"/>
  <c r="B20" i="11"/>
  <c r="B227" i="22" s="1"/>
  <c r="B16" i="11"/>
  <c r="B15" i="11"/>
  <c r="B14" i="11"/>
  <c r="B13" i="11"/>
  <c r="T183" i="20"/>
  <c r="T182" i="20"/>
  <c r="A78" i="10"/>
  <c r="A79" i="10"/>
  <c r="A80" i="10"/>
  <c r="A81" i="10"/>
  <c r="A82" i="10"/>
  <c r="A83" i="10"/>
  <c r="A84" i="10"/>
  <c r="T153" i="20"/>
  <c r="T77" i="20"/>
  <c r="T69" i="20"/>
  <c r="D190" i="25"/>
  <c r="D116" i="22"/>
  <c r="D117" i="22"/>
  <c r="D118" i="22"/>
  <c r="D119" i="22"/>
  <c r="D120" i="22"/>
  <c r="D121" i="22"/>
  <c r="D122" i="22"/>
  <c r="D123" i="22"/>
  <c r="D124" i="22"/>
  <c r="D125" i="22"/>
  <c r="D82" i="22"/>
  <c r="D83" i="22"/>
  <c r="D84" i="22"/>
  <c r="D85" i="22"/>
  <c r="D86" i="22"/>
  <c r="D87" i="22"/>
  <c r="D89" i="22"/>
  <c r="D90" i="22"/>
  <c r="D91" i="22"/>
  <c r="D92" i="22"/>
  <c r="D93" i="22"/>
  <c r="D95" i="22"/>
  <c r="D98" i="22"/>
  <c r="D99" i="22"/>
  <c r="D100" i="22"/>
  <c r="D101" i="22"/>
  <c r="D102" i="22"/>
  <c r="D103" i="22"/>
  <c r="D104" i="22"/>
  <c r="D105" i="22"/>
  <c r="D106" i="22"/>
  <c r="D107" i="22"/>
  <c r="D108" i="22"/>
  <c r="D109" i="22"/>
  <c r="D110" i="22"/>
  <c r="D112" i="22"/>
  <c r="D113" i="22"/>
  <c r="D114" i="22"/>
  <c r="D115" i="22"/>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T127" i="20"/>
  <c r="T121" i="20"/>
  <c r="T115" i="20"/>
  <c r="T95" i="20"/>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T166" i="20"/>
  <c r="A72" i="8"/>
  <c r="A73" i="8"/>
  <c r="A74" i="8"/>
  <c r="A75" i="8"/>
  <c r="A76" i="8"/>
  <c r="A77" i="8"/>
  <c r="B23" i="8"/>
  <c r="B82" i="22" s="1"/>
  <c r="B24" i="8"/>
  <c r="B83" i="22" s="1"/>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D67" i="22"/>
  <c r="D68" i="22"/>
  <c r="D69" i="22"/>
  <c r="D70" i="22"/>
  <c r="D72" i="22"/>
  <c r="D73" i="22"/>
  <c r="D74" i="22"/>
  <c r="D75" i="22"/>
  <c r="D76" i="22"/>
  <c r="D77" i="22"/>
  <c r="D66" i="22"/>
  <c r="E26" i="12" l="1"/>
  <c r="D249" i="22" s="1"/>
  <c r="E25" i="12"/>
  <c r="E81" i="12"/>
  <c r="D304" i="22" s="1"/>
  <c r="E80" i="12"/>
  <c r="D303" i="22" s="1"/>
  <c r="E55" i="10"/>
  <c r="D206" i="22" s="1"/>
  <c r="E32" i="10"/>
  <c r="D183" i="22" s="1"/>
  <c r="E59" i="10"/>
  <c r="D210" i="22" s="1"/>
  <c r="E35" i="13"/>
  <c r="D325" i="22" s="1"/>
  <c r="E32" i="13"/>
  <c r="D322" i="22" s="1"/>
  <c r="E24" i="13"/>
  <c r="D314" i="22" s="1"/>
  <c r="E30" i="12"/>
  <c r="D253" i="22" s="1"/>
  <c r="E29" i="12"/>
  <c r="D252" i="22" s="1"/>
  <c r="E28" i="12"/>
  <c r="D251" i="22" s="1"/>
  <c r="E27" i="12"/>
  <c r="D250" i="22" s="1"/>
  <c r="E18" i="12"/>
  <c r="E24" i="12"/>
  <c r="D247" i="22" s="1"/>
  <c r="E31" i="12"/>
  <c r="D254" i="22" s="1"/>
  <c r="E23" i="12"/>
  <c r="E21" i="12"/>
  <c r="E79" i="12"/>
  <c r="D302" i="22" s="1"/>
  <c r="E78" i="12"/>
  <c r="D301" i="22" s="1"/>
  <c r="E83" i="12"/>
  <c r="D306" i="22" s="1"/>
  <c r="E85" i="12"/>
  <c r="D308" i="22" s="1"/>
  <c r="E77" i="12"/>
  <c r="D300" i="22" s="1"/>
  <c r="E84" i="12"/>
  <c r="D307" i="22" s="1"/>
  <c r="E76" i="12"/>
  <c r="D299" i="22" s="1"/>
  <c r="E82" i="12"/>
  <c r="D305" i="22" s="1"/>
  <c r="E73" i="10"/>
  <c r="D224" i="22" s="1"/>
  <c r="E64" i="10"/>
  <c r="D215" i="22" s="1"/>
  <c r="E28" i="10"/>
  <c r="D179" i="22" s="1"/>
  <c r="E20" i="10"/>
  <c r="D171" i="22" s="1"/>
  <c r="E57" i="10"/>
  <c r="D208" i="22" s="1"/>
  <c r="E22" i="10"/>
  <c r="D173" i="22" s="1"/>
  <c r="E72" i="10"/>
  <c r="D223" i="22" s="1"/>
  <c r="E62" i="10"/>
  <c r="D213" i="22" s="1"/>
  <c r="E54" i="10"/>
  <c r="D205" i="22" s="1"/>
  <c r="E27" i="10"/>
  <c r="D178" i="22" s="1"/>
  <c r="E18" i="10"/>
  <c r="E66" i="10"/>
  <c r="D217" i="22" s="1"/>
  <c r="E71" i="10"/>
  <c r="D222" i="22" s="1"/>
  <c r="E61" i="10"/>
  <c r="D212" i="22" s="1"/>
  <c r="E53" i="10"/>
  <c r="D204" i="22" s="1"/>
  <c r="E26" i="10"/>
  <c r="D177" i="22" s="1"/>
  <c r="E70" i="10"/>
  <c r="D221" i="22" s="1"/>
  <c r="E60" i="10"/>
  <c r="D211" i="22" s="1"/>
  <c r="E52" i="10"/>
  <c r="D203" i="22" s="1"/>
  <c r="E33" i="10"/>
  <c r="D184" i="22" s="1"/>
  <c r="E25" i="10"/>
  <c r="D176" i="22" s="1"/>
  <c r="E69" i="10"/>
  <c r="D220" i="22" s="1"/>
  <c r="E24" i="10"/>
  <c r="D175" i="22" s="1"/>
  <c r="E67" i="10"/>
  <c r="D218" i="22" s="1"/>
  <c r="E58" i="10"/>
  <c r="D209" i="22" s="1"/>
  <c r="E31" i="10"/>
  <c r="D182" i="22" s="1"/>
  <c r="E23" i="10"/>
  <c r="D174" i="22" s="1"/>
  <c r="E74" i="10"/>
  <c r="D225" i="22" s="1"/>
  <c r="E65" i="10"/>
  <c r="D216" i="22" s="1"/>
  <c r="E56" i="10"/>
  <c r="D207" i="22" s="1"/>
  <c r="E29" i="10"/>
  <c r="D180" i="22" s="1"/>
  <c r="E21" i="10"/>
  <c r="D172" i="22" s="1"/>
  <c r="E30" i="10"/>
  <c r="D181" i="22" s="1"/>
  <c r="E55" i="12"/>
  <c r="D278" i="22" s="1"/>
  <c r="E47" i="12"/>
  <c r="D270" i="22" s="1"/>
  <c r="E39" i="12"/>
  <c r="D262" i="22" s="1"/>
  <c r="E54" i="12"/>
  <c r="D277" i="22" s="1"/>
  <c r="E46" i="12"/>
  <c r="D269" i="22" s="1"/>
  <c r="E38" i="12"/>
  <c r="D261" i="22" s="1"/>
  <c r="E61" i="12"/>
  <c r="D284" i="22" s="1"/>
  <c r="E53" i="12"/>
  <c r="D276" i="22" s="1"/>
  <c r="E45" i="12"/>
  <c r="D268" i="22" s="1"/>
  <c r="E37" i="12"/>
  <c r="D260" i="22" s="1"/>
  <c r="E19" i="12"/>
  <c r="E60" i="12"/>
  <c r="D283" i="22" s="1"/>
  <c r="E52" i="12"/>
  <c r="D275" i="22" s="1"/>
  <c r="E44" i="12"/>
  <c r="D267" i="22" s="1"/>
  <c r="E36" i="12"/>
  <c r="D259" i="22" s="1"/>
  <c r="E59" i="12"/>
  <c r="D282" i="22" s="1"/>
  <c r="E51" i="12"/>
  <c r="D274" i="22" s="1"/>
  <c r="E43" i="12"/>
  <c r="D266" i="22" s="1"/>
  <c r="E35" i="12"/>
  <c r="D258" i="22" s="1"/>
  <c r="E58" i="12"/>
  <c r="D281" i="22" s="1"/>
  <c r="E50" i="12"/>
  <c r="D273" i="22" s="1"/>
  <c r="E42" i="12"/>
  <c r="D265" i="22" s="1"/>
  <c r="E34" i="12"/>
  <c r="D257" i="22" s="1"/>
  <c r="E57" i="12"/>
  <c r="D280" i="22" s="1"/>
  <c r="E49" i="12"/>
  <c r="D272" i="22" s="1"/>
  <c r="E41" i="12"/>
  <c r="D264" i="22" s="1"/>
  <c r="E56" i="12"/>
  <c r="D279" i="22" s="1"/>
  <c r="E48" i="12"/>
  <c r="D271" i="22" s="1"/>
  <c r="E40" i="12"/>
  <c r="D263" i="22" s="1"/>
  <c r="E33" i="12"/>
  <c r="D256" i="22" s="1"/>
  <c r="E51" i="13"/>
  <c r="D341" i="22" s="1"/>
  <c r="E42" i="13"/>
  <c r="D332" i="22" s="1"/>
  <c r="E23" i="13"/>
  <c r="D313" i="22" s="1"/>
  <c r="E50" i="13"/>
  <c r="D340" i="22" s="1"/>
  <c r="E41" i="13"/>
  <c r="D331" i="22" s="1"/>
  <c r="E31" i="13"/>
  <c r="D321" i="22" s="1"/>
  <c r="E21" i="13"/>
  <c r="D311" i="22" s="1"/>
  <c r="E25" i="13"/>
  <c r="D315" i="22" s="1"/>
  <c r="E48" i="13"/>
  <c r="D338" i="22" s="1"/>
  <c r="E39" i="13"/>
  <c r="D329" i="22" s="1"/>
  <c r="E30" i="13"/>
  <c r="D320" i="22" s="1"/>
  <c r="E20" i="13"/>
  <c r="D310" i="22" s="1"/>
  <c r="E47" i="13"/>
  <c r="D337" i="22" s="1"/>
  <c r="E38" i="13"/>
  <c r="D328" i="22" s="1"/>
  <c r="E29" i="13"/>
  <c r="D319" i="22" s="1"/>
  <c r="E18" i="13"/>
  <c r="E55" i="13"/>
  <c r="D345" i="22" s="1"/>
  <c r="E46" i="13"/>
  <c r="D336" i="22" s="1"/>
  <c r="E37" i="13"/>
  <c r="D327" i="22" s="1"/>
  <c r="E27" i="13"/>
  <c r="D317" i="22" s="1"/>
  <c r="E44" i="13"/>
  <c r="D334" i="22" s="1"/>
  <c r="E54" i="13"/>
  <c r="D344" i="22" s="1"/>
  <c r="E45" i="13"/>
  <c r="D335" i="22" s="1"/>
  <c r="E36" i="13"/>
  <c r="D326" i="22" s="1"/>
  <c r="E26" i="13"/>
  <c r="D316" i="22" s="1"/>
  <c r="E53" i="13"/>
  <c r="D343" i="22" s="1"/>
  <c r="E52" i="13"/>
  <c r="D342" i="22" s="1"/>
  <c r="E43" i="13"/>
  <c r="D333" i="22" s="1"/>
  <c r="E33" i="13"/>
  <c r="D323" i="22" s="1"/>
  <c r="E55" i="9"/>
  <c r="D163" i="22" s="1"/>
  <c r="E47" i="9"/>
  <c r="D155" i="22" s="1"/>
  <c r="E39" i="9"/>
  <c r="D147" i="22" s="1"/>
  <c r="E30" i="9"/>
  <c r="D138" i="22" s="1"/>
  <c r="D130" i="22"/>
  <c r="E57" i="9"/>
  <c r="D165" i="22" s="1"/>
  <c r="E54" i="9"/>
  <c r="D162" i="22" s="1"/>
  <c r="E46" i="9"/>
  <c r="D154" i="22" s="1"/>
  <c r="E37" i="9"/>
  <c r="D145" i="22" s="1"/>
  <c r="E29" i="9"/>
  <c r="D137" i="22" s="1"/>
  <c r="D129" i="22"/>
  <c r="E61" i="9"/>
  <c r="D169" i="22" s="1"/>
  <c r="E53" i="9"/>
  <c r="D161" i="22" s="1"/>
  <c r="E45" i="9"/>
  <c r="D153" i="22" s="1"/>
  <c r="D144" i="22"/>
  <c r="D169" i="25" s="1"/>
  <c r="E28" i="9"/>
  <c r="D136" i="22" s="1"/>
  <c r="E20" i="9"/>
  <c r="D128" i="22" s="1"/>
  <c r="E60" i="9"/>
  <c r="D168" i="22" s="1"/>
  <c r="E52" i="9"/>
  <c r="D160" i="22" s="1"/>
  <c r="E44" i="9"/>
  <c r="D152" i="22" s="1"/>
  <c r="E35" i="9"/>
  <c r="D143" i="22" s="1"/>
  <c r="E27" i="9"/>
  <c r="D135" i="22" s="1"/>
  <c r="E18" i="9"/>
  <c r="E32" i="9"/>
  <c r="D140" i="22" s="1"/>
  <c r="E59" i="9"/>
  <c r="D167" i="22" s="1"/>
  <c r="D159" i="22"/>
  <c r="E43" i="9"/>
  <c r="D151" i="22" s="1"/>
  <c r="E34" i="9"/>
  <c r="D142" i="22" s="1"/>
  <c r="E26" i="9"/>
  <c r="D134" i="22" s="1"/>
  <c r="E49" i="9"/>
  <c r="D157" i="22" s="1"/>
  <c r="D132" i="22"/>
  <c r="E58" i="9"/>
  <c r="D166" i="22" s="1"/>
  <c r="E50" i="9"/>
  <c r="D158" i="22" s="1"/>
  <c r="E42" i="9"/>
  <c r="D150" i="22" s="1"/>
  <c r="D141" i="22"/>
  <c r="E25" i="9"/>
  <c r="D133" i="22" s="1"/>
  <c r="E41" i="9"/>
  <c r="D149" i="22" s="1"/>
  <c r="E56" i="9"/>
  <c r="D164" i="22" s="1"/>
  <c r="E48" i="9"/>
  <c r="D156" i="22" s="1"/>
  <c r="E40" i="9"/>
  <c r="D148" i="22" s="1"/>
  <c r="E31" i="9"/>
  <c r="D139" i="22" s="1"/>
  <c r="D131" i="22"/>
  <c r="E33" i="11"/>
  <c r="D240" i="22" s="1"/>
  <c r="E25" i="11"/>
  <c r="D232" i="22" s="1"/>
  <c r="E32" i="11"/>
  <c r="D239" i="22" s="1"/>
  <c r="E24" i="11"/>
  <c r="D231" i="22" s="1"/>
  <c r="E31" i="11"/>
  <c r="D238" i="22" s="1"/>
  <c r="E23" i="11"/>
  <c r="D230" i="22" s="1"/>
  <c r="E30" i="11"/>
  <c r="D237" i="22" s="1"/>
  <c r="E22" i="11"/>
  <c r="D229" i="22" s="1"/>
  <c r="E37" i="11"/>
  <c r="D244" i="22" s="1"/>
  <c r="E29" i="11"/>
  <c r="D236" i="22" s="1"/>
  <c r="E21" i="11"/>
  <c r="D228" i="22" s="1"/>
  <c r="E35" i="11"/>
  <c r="D242" i="22" s="1"/>
  <c r="E36" i="11"/>
  <c r="D243" i="22" s="1"/>
  <c r="E28" i="11"/>
  <c r="D235" i="22" s="1"/>
  <c r="E20" i="11"/>
  <c r="D227" i="22" s="1"/>
  <c r="E27" i="11"/>
  <c r="D234" i="22" s="1"/>
  <c r="E34" i="11"/>
  <c r="D241" i="22" s="1"/>
  <c r="E26" i="11"/>
  <c r="D233" i="22" s="1"/>
  <c r="E18" i="1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T230" i="20"/>
  <c r="V230" i="20" s="1"/>
  <c r="S58" i="20"/>
  <c r="T58" i="20"/>
  <c r="B61" i="22"/>
  <c r="A14" i="25"/>
  <c r="C14" i="25" s="1"/>
  <c r="B60" i="22"/>
  <c r="A13" i="25"/>
  <c r="C13" i="25" s="1"/>
  <c r="B59" i="22"/>
  <c r="A12" i="25"/>
  <c r="C12" i="25" s="1"/>
  <c r="B56" i="22"/>
  <c r="A11" i="25"/>
  <c r="C11" i="25" s="1"/>
  <c r="B58" i="22"/>
  <c r="A16" i="22"/>
  <c r="C16" i="22" s="1"/>
  <c r="B57" i="22"/>
  <c r="A15" i="22"/>
  <c r="C15" i="22" s="1"/>
  <c r="B248" i="22"/>
  <c r="A13" i="22"/>
  <c r="C13" i="22" s="1"/>
  <c r="A11" i="22"/>
  <c r="C11" i="22" s="1"/>
  <c r="A12" i="22"/>
  <c r="C12" i="22" s="1"/>
  <c r="A14" i="22"/>
  <c r="C14" i="22" s="1"/>
  <c r="P173" i="20"/>
  <c r="P203" i="20"/>
  <c r="P279" i="20"/>
  <c r="P108" i="20"/>
  <c r="P166" i="20"/>
  <c r="P115" i="20"/>
  <c r="P123" i="20"/>
  <c r="P69" i="20"/>
  <c r="P77" i="20"/>
  <c r="P179" i="20"/>
  <c r="P226" i="20"/>
  <c r="P218" i="20"/>
  <c r="P210" i="20"/>
  <c r="P202" i="20"/>
  <c r="P194" i="20"/>
  <c r="P234" i="20"/>
  <c r="P305" i="20"/>
  <c r="P313" i="20"/>
  <c r="P322" i="20"/>
  <c r="P330" i="20"/>
  <c r="P292" i="20"/>
  <c r="P219" i="20"/>
  <c r="P269" i="20"/>
  <c r="P44" i="20"/>
  <c r="P133" i="20"/>
  <c r="P158" i="20"/>
  <c r="P216" i="20"/>
  <c r="P208" i="20"/>
  <c r="P62" i="20"/>
  <c r="P263" i="20"/>
  <c r="P273" i="20"/>
  <c r="P283" i="20"/>
  <c r="P290" i="20"/>
  <c r="P165" i="20"/>
  <c r="P187" i="20"/>
  <c r="P321" i="20"/>
  <c r="P259" i="20"/>
  <c r="P109" i="20"/>
  <c r="P70" i="20"/>
  <c r="P199" i="20"/>
  <c r="P191" i="20"/>
  <c r="P61" i="20"/>
  <c r="P231" i="20"/>
  <c r="P317" i="20"/>
  <c r="P325" i="20"/>
  <c r="P333" i="20"/>
  <c r="P254" i="20"/>
  <c r="P265" i="20"/>
  <c r="P107" i="20"/>
  <c r="P178" i="20"/>
  <c r="P38" i="20"/>
  <c r="P211" i="20"/>
  <c r="P289" i="20"/>
  <c r="P293" i="20"/>
  <c r="P271" i="20"/>
  <c r="P42" i="20"/>
  <c r="P207" i="20"/>
  <c r="P170" i="20"/>
  <c r="P95" i="20"/>
  <c r="P119" i="20"/>
  <c r="P127" i="20"/>
  <c r="P151" i="20"/>
  <c r="P183" i="20"/>
  <c r="P49" i="20"/>
  <c r="P58" i="20"/>
  <c r="P222" i="20"/>
  <c r="P214" i="20"/>
  <c r="P206" i="20"/>
  <c r="P198" i="20"/>
  <c r="P190" i="20"/>
  <c r="P230" i="20"/>
  <c r="P326" i="20"/>
  <c r="P256" i="20"/>
  <c r="P275" i="20"/>
  <c r="P301" i="20"/>
  <c r="P154" i="20"/>
  <c r="P195" i="20"/>
  <c r="P250" i="20"/>
  <c r="P182" i="20"/>
  <c r="P105" i="20"/>
  <c r="P162" i="20"/>
  <c r="P310" i="20"/>
  <c r="P246" i="20"/>
  <c r="P267" i="20"/>
  <c r="P277" i="20"/>
  <c r="P287" i="20"/>
  <c r="P295" i="20"/>
  <c r="P329" i="20"/>
  <c r="P157" i="20"/>
  <c r="P306" i="20"/>
  <c r="P297" i="20"/>
  <c r="P291" i="20"/>
  <c r="P164" i="20"/>
  <c r="P172" i="20"/>
  <c r="P121" i="20"/>
  <c r="P153" i="20"/>
  <c r="P177" i="20"/>
  <c r="P220" i="20"/>
  <c r="P188" i="20"/>
  <c r="P258" i="20"/>
  <c r="P294" i="20"/>
  <c r="T186" i="20"/>
  <c r="T150" i="20"/>
  <c r="T13" i="20"/>
  <c r="V13" i="20" s="1"/>
  <c r="T53" i="20"/>
  <c r="T102" i="20"/>
  <c r="T30" i="20"/>
  <c r="T52" i="20"/>
  <c r="T51" i="20"/>
  <c r="T99" i="20"/>
  <c r="T50" i="20"/>
  <c r="T31" i="20"/>
  <c r="D289" i="22"/>
  <c r="D297" i="22"/>
  <c r="D294" i="22"/>
  <c r="D290" i="22"/>
  <c r="D286" i="22"/>
  <c r="D295" i="22"/>
  <c r="D288" i="22"/>
  <c r="D291" i="22"/>
  <c r="D292" i="22"/>
  <c r="D287" i="22"/>
  <c r="D296" i="22"/>
  <c r="D293" i="22"/>
  <c r="T302" i="20"/>
  <c r="V302" i="20" s="1"/>
  <c r="T296" i="20"/>
  <c r="T251" i="20"/>
  <c r="V251" i="20" s="1"/>
  <c r="T252" i="20"/>
  <c r="V252" i="20" s="1"/>
  <c r="T268" i="20"/>
  <c r="V268" i="20" s="1"/>
  <c r="T239" i="20"/>
  <c r="V239" i="20" s="1"/>
  <c r="T299" i="20"/>
  <c r="V299" i="20" s="1"/>
  <c r="T281" i="20"/>
  <c r="V281" i="20" s="1"/>
  <c r="T285" i="20"/>
  <c r="V285" i="20" s="1"/>
  <c r="T240" i="20"/>
  <c r="V240" i="20" s="1"/>
  <c r="T244" i="20"/>
  <c r="T248" i="20"/>
  <c r="V248" i="20" s="1"/>
  <c r="T243" i="20"/>
  <c r="T247" i="20"/>
  <c r="V247" i="20" s="1"/>
  <c r="T255" i="20"/>
  <c r="T264" i="20"/>
  <c r="V264" i="20" s="1"/>
  <c r="T272" i="20"/>
  <c r="T276" i="20"/>
  <c r="V276" i="20" s="1"/>
  <c r="T253" i="20"/>
  <c r="T262" i="20"/>
  <c r="V262" i="20" s="1"/>
  <c r="T266" i="20"/>
  <c r="T270" i="20"/>
  <c r="V270" i="20" s="1"/>
  <c r="T284" i="20"/>
  <c r="V284" i="20" s="1"/>
  <c r="T298" i="20"/>
  <c r="V298" i="20" s="1"/>
  <c r="T245" i="20"/>
  <c r="V245" i="20" s="1"/>
  <c r="T249" i="20"/>
  <c r="T257" i="20"/>
  <c r="V257" i="20" s="1"/>
  <c r="T280" i="20"/>
  <c r="V280" i="20" s="1"/>
  <c r="T241" i="20"/>
  <c r="V241" i="20" s="1"/>
  <c r="T274" i="20"/>
  <c r="V274" i="20" s="1"/>
  <c r="T278" i="20"/>
  <c r="V278" i="20" s="1"/>
  <c r="T288" i="20"/>
  <c r="V288" i="20" s="1"/>
  <c r="T300" i="20"/>
  <c r="V300" i="20" s="1"/>
  <c r="T282" i="20"/>
  <c r="V282" i="20" s="1"/>
  <c r="T286" i="20"/>
  <c r="V286" i="20" s="1"/>
  <c r="T56" i="20"/>
  <c r="T79" i="20"/>
  <c r="T94" i="20"/>
  <c r="T114" i="20"/>
  <c r="T82" i="20"/>
  <c r="T81" i="20"/>
  <c r="T93" i="20"/>
  <c r="T78" i="20"/>
  <c r="T91" i="20"/>
  <c r="T84" i="20"/>
  <c r="T90" i="20"/>
  <c r="T83" i="20"/>
  <c r="T140" i="20"/>
  <c r="T76" i="20"/>
  <c r="T67" i="20"/>
  <c r="T72" i="20"/>
  <c r="T64" i="20"/>
  <c r="T71" i="20"/>
  <c r="T143" i="20"/>
  <c r="T225" i="20"/>
  <c r="T63" i="20"/>
  <c r="T59" i="20"/>
  <c r="T217" i="20"/>
  <c r="T224" i="20"/>
  <c r="T185" i="20"/>
  <c r="T155" i="20"/>
  <c r="T160" i="20"/>
  <c r="T152" i="20"/>
  <c r="T113" i="20"/>
  <c r="T118" i="20"/>
  <c r="T116" i="20"/>
  <c r="T132" i="20"/>
  <c r="T167" i="20"/>
  <c r="T110" i="20"/>
  <c r="T161" i="20"/>
  <c r="T16" i="20"/>
  <c r="V16" i="20" s="1"/>
  <c r="T15" i="20"/>
  <c r="T14" i="20"/>
  <c r="E144" i="22" l="1"/>
  <c r="E169" i="25" s="1"/>
  <c r="D248" i="22"/>
  <c r="D153" i="25" s="1"/>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3" i="22"/>
  <c r="E344" i="22"/>
  <c r="E342" i="22"/>
  <c r="E345" i="22"/>
  <c r="E341" i="22"/>
  <c r="E340" i="22"/>
  <c r="E335" i="22"/>
  <c r="E338" i="22"/>
  <c r="E334" i="22"/>
  <c r="E332" i="22"/>
  <c r="E336" i="22"/>
  <c r="E337" i="22"/>
  <c r="E333" i="22"/>
  <c r="E331" i="22"/>
  <c r="E327" i="22"/>
  <c r="E326" i="22"/>
  <c r="E329" i="22"/>
  <c r="E328" i="22"/>
  <c r="E325" i="22"/>
  <c r="E320" i="22"/>
  <c r="E323" i="22"/>
  <c r="E322" i="22"/>
  <c r="E321" i="22"/>
  <c r="E319" i="22"/>
  <c r="E315" i="22"/>
  <c r="E314" i="22"/>
  <c r="E317" i="22"/>
  <c r="E316" i="22"/>
  <c r="E313" i="22"/>
  <c r="E311" i="22"/>
  <c r="E310" i="22"/>
  <c r="E302" i="22"/>
  <c r="E307" i="22"/>
  <c r="E301" i="22"/>
  <c r="E304" i="22"/>
  <c r="E308" i="22"/>
  <c r="E303" i="22"/>
  <c r="E300" i="22"/>
  <c r="E305" i="22"/>
  <c r="E306" i="22"/>
  <c r="E299" i="22"/>
  <c r="D258" i="25"/>
  <c r="E296" i="22"/>
  <c r="E258" i="25" s="1"/>
  <c r="D256" i="25"/>
  <c r="E294" i="22"/>
  <c r="E256" i="25" s="1"/>
  <c r="D255" i="25"/>
  <c r="E293" i="22"/>
  <c r="E255" i="25" s="1"/>
  <c r="D249" i="25"/>
  <c r="E287" i="22"/>
  <c r="E249" i="25" s="1"/>
  <c r="D259" i="25"/>
  <c r="E297" i="22"/>
  <c r="E259" i="25" s="1"/>
  <c r="D254" i="25"/>
  <c r="E292" i="22"/>
  <c r="E254" i="25" s="1"/>
  <c r="D251" i="25"/>
  <c r="E289" i="22"/>
  <c r="E251" i="25" s="1"/>
  <c r="D253" i="25"/>
  <c r="E291" i="22"/>
  <c r="E253" i="25" s="1"/>
  <c r="D252" i="25"/>
  <c r="E290" i="22"/>
  <c r="E252" i="25" s="1"/>
  <c r="D250" i="25"/>
  <c r="E288" i="22"/>
  <c r="E250" i="25" s="1"/>
  <c r="D257" i="25"/>
  <c r="E295" i="22"/>
  <c r="E257" i="25" s="1"/>
  <c r="D248" i="25"/>
  <c r="E286" i="22"/>
  <c r="E248" i="25" s="1"/>
  <c r="D226" i="25"/>
  <c r="E264" i="22"/>
  <c r="E226" i="25" s="1"/>
  <c r="D244" i="25"/>
  <c r="E282" i="22"/>
  <c r="E244" i="25" s="1"/>
  <c r="D246" i="25"/>
  <c r="E284" i="22"/>
  <c r="E246" i="25" s="1"/>
  <c r="D238" i="25"/>
  <c r="E276" i="22"/>
  <c r="E238" i="25" s="1"/>
  <c r="D245" i="25"/>
  <c r="E283" i="22"/>
  <c r="E245" i="25" s="1"/>
  <c r="D243" i="25"/>
  <c r="E281" i="22"/>
  <c r="E243" i="25" s="1"/>
  <c r="D222" i="25"/>
  <c r="E260" i="22"/>
  <c r="E222" i="25" s="1"/>
  <c r="D237" i="25"/>
  <c r="E275" i="22"/>
  <c r="E237" i="25" s="1"/>
  <c r="D235" i="25"/>
  <c r="E273" i="22"/>
  <c r="E235" i="25" s="1"/>
  <c r="D229" i="25"/>
  <c r="E267" i="22"/>
  <c r="E229" i="25" s="1"/>
  <c r="D221" i="25"/>
  <c r="E259" i="22"/>
  <c r="E221" i="25" s="1"/>
  <c r="D232" i="25"/>
  <c r="E270" i="22"/>
  <c r="E232" i="25" s="1"/>
  <c r="D227" i="25"/>
  <c r="E265" i="22"/>
  <c r="E227" i="25" s="1"/>
  <c r="D236" i="25"/>
  <c r="E274" i="22"/>
  <c r="E236" i="25" s="1"/>
  <c r="D228" i="25"/>
  <c r="E266" i="22"/>
  <c r="E228" i="25" s="1"/>
  <c r="D239" i="25"/>
  <c r="E277" i="22"/>
  <c r="E239" i="25" s="1"/>
  <c r="D219" i="25"/>
  <c r="E257" i="22"/>
  <c r="E219" i="25" s="1"/>
  <c r="D220" i="25"/>
  <c r="E258" i="22"/>
  <c r="E220" i="25" s="1"/>
  <c r="D241" i="25"/>
  <c r="E279" i="22"/>
  <c r="E241" i="25" s="1"/>
  <c r="D223" i="25"/>
  <c r="E261" i="22"/>
  <c r="E223" i="25" s="1"/>
  <c r="D240" i="25"/>
  <c r="E278" i="22"/>
  <c r="E240" i="25" s="1"/>
  <c r="D242" i="25"/>
  <c r="E280" i="22"/>
  <c r="E242" i="25" s="1"/>
  <c r="D233" i="25"/>
  <c r="E271" i="22"/>
  <c r="E233" i="25" s="1"/>
  <c r="D231" i="25"/>
  <c r="E269" i="22"/>
  <c r="E231" i="25" s="1"/>
  <c r="D230" i="25"/>
  <c r="E268" i="22"/>
  <c r="E230" i="25" s="1"/>
  <c r="D224" i="25"/>
  <c r="E262" i="22"/>
  <c r="E224" i="25" s="1"/>
  <c r="D234" i="25"/>
  <c r="E272" i="22"/>
  <c r="E234" i="25" s="1"/>
  <c r="D225" i="25"/>
  <c r="E263" i="22"/>
  <c r="E225" i="25" s="1"/>
  <c r="D218" i="25"/>
  <c r="E256" i="22"/>
  <c r="E218" i="25" s="1"/>
  <c r="D152" i="25"/>
  <c r="E247" i="22"/>
  <c r="E152" i="25" s="1"/>
  <c r="D158" i="25"/>
  <c r="E253" i="22"/>
  <c r="E158" i="25" s="1"/>
  <c r="D156" i="25"/>
  <c r="E251" i="22"/>
  <c r="E156" i="25" s="1"/>
  <c r="D157" i="25"/>
  <c r="E252" i="22"/>
  <c r="E157" i="25" s="1"/>
  <c r="D155" i="25"/>
  <c r="E250" i="22"/>
  <c r="E155" i="25" s="1"/>
  <c r="E248" i="22"/>
  <c r="E153" i="25" s="1"/>
  <c r="D159" i="25"/>
  <c r="E254" i="22"/>
  <c r="E159" i="25" s="1"/>
  <c r="D154" i="25"/>
  <c r="E249"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67" i="25"/>
  <c r="E139" i="22"/>
  <c r="E167" i="25" s="1"/>
  <c r="E136" i="22"/>
  <c r="D166" i="25"/>
  <c r="E129" i="22"/>
  <c r="E166" i="25" s="1"/>
  <c r="E131" i="22"/>
  <c r="D168" i="25"/>
  <c r="E140" i="22"/>
  <c r="E168" i="25" s="1"/>
  <c r="D165" i="25"/>
  <c r="E128" i="22"/>
  <c r="E165" i="25" s="1"/>
  <c r="S117" i="20"/>
  <c r="T117" i="20"/>
  <c r="S193" i="20"/>
  <c r="T193" i="20"/>
  <c r="V193" i="20" s="1"/>
  <c r="S86" i="20"/>
  <c r="T86" i="20"/>
  <c r="T233" i="20"/>
  <c r="V233" i="20" s="1"/>
  <c r="S46" i="20"/>
  <c r="T46" i="20"/>
  <c r="V46" i="20" s="1"/>
  <c r="S221" i="20"/>
  <c r="T221" i="20"/>
  <c r="V221" i="20" s="1"/>
  <c r="S215" i="20"/>
  <c r="T215" i="20"/>
  <c r="S128" i="20"/>
  <c r="T128" i="20"/>
  <c r="V128" i="20" s="1"/>
  <c r="T236" i="20"/>
  <c r="V236" i="20" s="1"/>
  <c r="S85" i="20"/>
  <c r="T85" i="20"/>
  <c r="S45" i="20"/>
  <c r="T45" i="20"/>
  <c r="V45" i="20" s="1"/>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S312" i="20"/>
  <c r="T312" i="20"/>
  <c r="T146" i="20"/>
  <c r="V146" i="20" s="1"/>
  <c r="S327" i="20"/>
  <c r="T327" i="20"/>
  <c r="S40" i="20"/>
  <c r="T40" i="20"/>
  <c r="S156" i="20"/>
  <c r="T156" i="20"/>
  <c r="V156" i="20" s="1"/>
  <c r="S37" i="20"/>
  <c r="T37"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T3" i="20"/>
  <c r="P96" i="20"/>
  <c r="P167" i="20"/>
  <c r="P126" i="20"/>
  <c r="P212" i="20"/>
  <c r="P75" i="20"/>
  <c r="P93" i="20"/>
  <c r="P82" i="20"/>
  <c r="P311" i="20"/>
  <c r="P274" i="20"/>
  <c r="P257" i="20"/>
  <c r="P266" i="20"/>
  <c r="P276" i="20"/>
  <c r="P255" i="20"/>
  <c r="P251" i="20"/>
  <c r="P103" i="20"/>
  <c r="P54" i="20"/>
  <c r="P41" i="20"/>
  <c r="P12" i="20"/>
  <c r="P186" i="20"/>
  <c r="P47" i="20"/>
  <c r="P180" i="20"/>
  <c r="P175" i="20"/>
  <c r="P174" i="20"/>
  <c r="P184" i="20"/>
  <c r="P45" i="20"/>
  <c r="P192" i="20"/>
  <c r="P209" i="20"/>
  <c r="P84" i="20"/>
  <c r="P89" i="20"/>
  <c r="P114" i="20"/>
  <c r="P331" i="20"/>
  <c r="P249" i="20"/>
  <c r="P262" i="20"/>
  <c r="P232" i="20"/>
  <c r="P97" i="20"/>
  <c r="P25" i="20"/>
  <c r="P215" i="20"/>
  <c r="P91" i="20"/>
  <c r="P300" i="20"/>
  <c r="P296" i="20"/>
  <c r="P53" i="20"/>
  <c r="P116" i="20"/>
  <c r="P155" i="20"/>
  <c r="P60" i="20"/>
  <c r="P204" i="20"/>
  <c r="P223" i="20"/>
  <c r="P228" i="20"/>
  <c r="P71" i="20"/>
  <c r="P72" i="20"/>
  <c r="P90" i="20"/>
  <c r="P81" i="20"/>
  <c r="P94" i="20"/>
  <c r="P79" i="20"/>
  <c r="P307" i="20"/>
  <c r="P332" i="20"/>
  <c r="P282" i="20"/>
  <c r="P288" i="20"/>
  <c r="P298" i="20"/>
  <c r="P281" i="20"/>
  <c r="P312" i="20"/>
  <c r="P169" i="20"/>
  <c r="P176" i="20"/>
  <c r="P113" i="20"/>
  <c r="P152" i="20"/>
  <c r="P181" i="20"/>
  <c r="P68" i="20"/>
  <c r="P83" i="20"/>
  <c r="P316" i="20"/>
  <c r="P286" i="20"/>
  <c r="P253" i="20"/>
  <c r="P39" i="20"/>
  <c r="P124" i="20"/>
  <c r="P163" i="20"/>
  <c r="P134" i="20"/>
  <c r="P117" i="20"/>
  <c r="P201" i="20"/>
  <c r="P196" i="20"/>
  <c r="P189" i="20"/>
  <c r="P66" i="20"/>
  <c r="P67" i="20"/>
  <c r="P85" i="20"/>
  <c r="P88" i="20"/>
  <c r="P56" i="20"/>
  <c r="P327" i="20"/>
  <c r="P284" i="20"/>
  <c r="P243" i="20"/>
  <c r="P233" i="20"/>
  <c r="P171" i="20"/>
  <c r="P26" i="20"/>
  <c r="P27" i="20"/>
  <c r="P29" i="20"/>
  <c r="P30" i="20"/>
  <c r="P102" i="20"/>
  <c r="P50" i="20"/>
  <c r="P51" i="20"/>
  <c r="P52" i="20"/>
  <c r="P40" i="20"/>
  <c r="P309" i="20"/>
  <c r="P15" i="20"/>
  <c r="P132" i="20"/>
  <c r="P118" i="20"/>
  <c r="P213" i="20"/>
  <c r="P59" i="20"/>
  <c r="P65" i="20"/>
  <c r="P120" i="20"/>
  <c r="P131" i="20"/>
  <c r="P319" i="20"/>
  <c r="P245" i="20"/>
  <c r="P110" i="20"/>
  <c r="P122" i="20"/>
  <c r="P63" i="20"/>
  <c r="P76" i="20"/>
  <c r="P92" i="20"/>
  <c r="P130" i="20"/>
  <c r="P315" i="20"/>
  <c r="P320" i="20"/>
  <c r="P324" i="20"/>
  <c r="P264" i="20"/>
  <c r="P14" i="20"/>
  <c r="P161" i="20"/>
  <c r="P128" i="20"/>
  <c r="P156" i="20"/>
  <c r="P159" i="20"/>
  <c r="P200" i="20"/>
  <c r="P217" i="20"/>
  <c r="P74" i="20"/>
  <c r="P78" i="20"/>
  <c r="P80" i="20"/>
  <c r="P57" i="20"/>
  <c r="P278" i="20"/>
  <c r="P285" i="20"/>
  <c r="P299" i="20"/>
  <c r="P268" i="20"/>
  <c r="P302" i="20"/>
  <c r="P31" i="20"/>
  <c r="P99" i="20"/>
  <c r="P100" i="20"/>
  <c r="P101" i="20"/>
  <c r="P28" i="20"/>
  <c r="P48" i="20"/>
  <c r="P314" i="20"/>
  <c r="P106" i="20"/>
  <c r="P125" i="20"/>
  <c r="P221" i="20"/>
  <c r="P64" i="20"/>
  <c r="P129" i="20"/>
  <c r="P272" i="20"/>
  <c r="P205" i="20"/>
  <c r="P193" i="20"/>
  <c r="P73" i="20"/>
  <c r="P112" i="20"/>
  <c r="P104" i="20"/>
  <c r="P168" i="20"/>
  <c r="P111" i="20"/>
  <c r="P185" i="20"/>
  <c r="P46" i="20"/>
  <c r="P37" i="20"/>
  <c r="P229" i="20"/>
  <c r="P197" i="20"/>
  <c r="P43" i="20"/>
  <c r="P86" i="20"/>
  <c r="P323" i="20"/>
  <c r="P328" i="20"/>
  <c r="P280" i="20"/>
  <c r="P270" i="20"/>
  <c r="P252" i="20"/>
  <c r="P98" i="20"/>
  <c r="P55" i="20"/>
  <c r="F21" i="14"/>
  <c r="E38" i="22" l="1"/>
  <c r="D24" i="25"/>
  <c r="D31" i="22"/>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R3" i="20"/>
  <c r="R4" i="20" s="1"/>
  <c r="R5" i="20" s="1"/>
  <c r="R6" i="20" s="1"/>
  <c r="R7" i="20" s="1"/>
  <c r="R8" i="20" s="1"/>
  <c r="R9" i="20" s="1"/>
  <c r="R10" i="20" s="1"/>
  <c r="R11" i="20" s="1"/>
  <c r="R12" i="20" s="1"/>
  <c r="S3" i="20"/>
  <c r="D23" i="25"/>
  <c r="D33" i="22"/>
  <c r="D27" i="25"/>
  <c r="D30" i="25"/>
  <c r="D30" i="22"/>
  <c r="D34" i="22"/>
  <c r="D29" i="25"/>
  <c r="D22" i="22"/>
  <c r="D24" i="22"/>
  <c r="D27" i="22"/>
  <c r="D28" i="22"/>
  <c r="D26" i="25"/>
  <c r="D36" i="22"/>
  <c r="D28" i="25"/>
  <c r="D29" i="22"/>
  <c r="D25" i="22"/>
  <c r="D35" i="22"/>
  <c r="D25" i="25"/>
  <c r="D22" i="25"/>
  <c r="D19" i="21" l="1"/>
  <c r="E24" i="25"/>
  <c r="F24" i="25" s="1"/>
  <c r="E31" i="22"/>
  <c r="F31" i="22" s="1"/>
  <c r="C20" i="21"/>
  <c r="U5" i="20"/>
  <c r="U6" i="20" s="1"/>
  <c r="U7" i="20" s="1"/>
  <c r="U8" i="20" s="1"/>
  <c r="U9" i="20" s="1"/>
  <c r="U10" i="20" s="1"/>
  <c r="U11" i="20" s="1"/>
  <c r="U12" i="20" s="1"/>
  <c r="T335" i="20"/>
  <c r="A26" i="21" s="1"/>
  <c r="H38" i="21"/>
  <c r="R13" i="20"/>
  <c r="S12" i="20"/>
  <c r="E30" i="25"/>
  <c r="F30" i="25" s="1"/>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s="1"/>
  <c r="D37" i="22"/>
  <c r="D20" i="21"/>
  <c r="E22" i="25"/>
  <c r="F22" i="25" s="1"/>
  <c r="F32" i="22" l="1"/>
  <c r="F23" i="22"/>
  <c r="F21" i="22"/>
  <c r="F37" i="22"/>
  <c r="E19" i="21"/>
  <c r="F19" i="21" s="1"/>
  <c r="E20" i="21"/>
  <c r="F20" i="21" s="1"/>
  <c r="H39" i="21"/>
  <c r="A27" i="21"/>
  <c r="U13" i="20"/>
  <c r="U14" i="20" s="1"/>
  <c r="V12" i="20"/>
  <c r="R14" i="20"/>
  <c r="S13" i="20"/>
  <c r="F38" i="22"/>
  <c r="D40" i="22"/>
  <c r="E26" i="22"/>
  <c r="F26" i="22" s="1"/>
  <c r="E21" i="25"/>
  <c r="F21" i="25" s="1"/>
  <c r="U15" i="20" l="1"/>
  <c r="U16" i="20" s="1"/>
  <c r="U17" i="20" s="1"/>
  <c r="U18" i="20" s="1"/>
  <c r="U19" i="20" s="1"/>
  <c r="U20" i="20" s="1"/>
  <c r="U21" i="20" s="1"/>
  <c r="U22" i="20" s="1"/>
  <c r="U23" i="20" s="1"/>
  <c r="U24" i="20" s="1"/>
  <c r="U25" i="20" s="1"/>
  <c r="V14" i="20"/>
  <c r="H40" i="21"/>
  <c r="V15" i="20"/>
  <c r="A28" i="21"/>
  <c r="R15" i="20"/>
  <c r="S14" i="20"/>
  <c r="S30" i="20"/>
  <c r="E31" i="25"/>
  <c r="F31" i="25" s="1"/>
  <c r="E39" i="22" l="1"/>
  <c r="F39" i="22" s="1"/>
  <c r="U26" i="20"/>
  <c r="V25" i="20"/>
  <c r="A29" i="21"/>
  <c r="V30" i="20"/>
  <c r="H41" i="21"/>
  <c r="R16" i="20"/>
  <c r="S15" i="20"/>
  <c r="E40" i="22" l="1"/>
  <c r="F40" i="22" s="1"/>
  <c r="U27" i="20"/>
  <c r="U28" i="20" s="1"/>
  <c r="U29" i="20" s="1"/>
  <c r="V26" i="20"/>
  <c r="H42" i="21"/>
  <c r="A30" i="21"/>
  <c r="V31" i="20"/>
  <c r="R17" i="20"/>
  <c r="R18" i="20" s="1"/>
  <c r="R19" i="20" s="1"/>
  <c r="S16" i="20"/>
  <c r="S50" i="20"/>
  <c r="U30" i="20" l="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U105" i="20" s="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29" i="20"/>
  <c r="V89" i="20"/>
  <c r="V104" i="20"/>
  <c r="V177" i="20"/>
  <c r="V178" i="20"/>
  <c r="R20" i="20"/>
  <c r="S19" i="20"/>
  <c r="H43" i="21"/>
  <c r="A31" i="21"/>
  <c r="S51" i="20"/>
  <c r="V37" i="20" l="1"/>
  <c r="R21" i="20"/>
  <c r="R22" i="20" s="1"/>
  <c r="R23" i="20" s="1"/>
  <c r="S20" i="20"/>
  <c r="U180" i="20"/>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S53" i="20"/>
  <c r="V53" i="20"/>
  <c r="A38" i="21"/>
  <c r="V63" i="20"/>
  <c r="H50" i="21"/>
  <c r="S64" i="20"/>
  <c r="R98" i="20" l="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S97" i="20"/>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S146" i="20"/>
  <c r="V56" i="20"/>
  <c r="H52" i="21"/>
  <c r="A40" i="21"/>
  <c r="S69" i="20"/>
  <c r="R229" i="20" l="1"/>
  <c r="R230" i="20" s="1"/>
  <c r="S228" i="20"/>
  <c r="S241" i="20"/>
  <c r="V57" i="20"/>
  <c r="A41" i="21"/>
  <c r="H53" i="21"/>
  <c r="S71" i="20"/>
  <c r="R231" i="20" l="1"/>
  <c r="S230" i="20"/>
  <c r="S243" i="20"/>
  <c r="V58" i="20"/>
  <c r="H54" i="21"/>
  <c r="V71" i="20"/>
  <c r="A42" i="21"/>
  <c r="S72" i="20"/>
  <c r="R232" i="20" l="1"/>
  <c r="S231" i="20"/>
  <c r="V64" i="20"/>
  <c r="V72" i="20"/>
  <c r="H55" i="21"/>
  <c r="A43" i="21"/>
  <c r="S76" i="20"/>
  <c r="R233" i="20" l="1"/>
  <c r="S232" i="20"/>
  <c r="V65" i="20"/>
  <c r="A44" i="21"/>
  <c r="H56" i="21"/>
  <c r="V76" i="20"/>
  <c r="S77" i="20"/>
  <c r="R234" i="20" l="1"/>
  <c r="S233" i="20"/>
  <c r="V66" i="20"/>
  <c r="V77" i="20"/>
  <c r="A45" i="21"/>
  <c r="H57" i="21"/>
  <c r="S78" i="20"/>
  <c r="R235" i="20" l="1"/>
  <c r="S234" i="20"/>
  <c r="V67" i="20"/>
  <c r="H58" i="21"/>
  <c r="A46" i="21"/>
  <c r="S79" i="20"/>
  <c r="R236" i="20" l="1"/>
  <c r="S235" i="20"/>
  <c r="V68" i="20"/>
  <c r="H59" i="21"/>
  <c r="A47" i="21"/>
  <c r="S81" i="20"/>
  <c r="R237" i="20" l="1"/>
  <c r="S236" i="20"/>
  <c r="V69" i="20"/>
  <c r="A48" i="21"/>
  <c r="H60" i="21"/>
  <c r="S82" i="20"/>
  <c r="R238" i="20" l="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237" i="20"/>
  <c r="V70" i="20"/>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B117" i="21" s="1"/>
  <c r="F117" i="21" s="1"/>
  <c r="J128" i="21"/>
  <c r="K128" i="21"/>
  <c r="L128" i="21"/>
  <c r="H130" i="21"/>
  <c r="I129" i="21"/>
  <c r="M129" i="21" s="1"/>
  <c r="A118" i="2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<sst xmlns="http://schemas.openxmlformats.org/spreadsheetml/2006/main" count="6342" uniqueCount="2097">
  <si>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</si>
  <si>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</si>
  <si>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</si>
  <si>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</si>
  <si>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</si>
  <si>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</si>
  <si>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</si>
  <si>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</si>
  <si>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</si>
  <si>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</si>
  <si>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</si>
  <si>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</si>
  <si>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</si>
  <si>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</si>
  <si>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</si>
  <si>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</si>
  <si>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</si>
  <si>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</si>
  <si>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</si>
  <si>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</si>
  <si>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</si>
  <si>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</si>
  <si>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</si>
  <si>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</si>
  <si>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</si>
  <si>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</si>
  <si>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</si>
  <si>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</si>
  <si>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</si>
  <si>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</si>
  <si>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</si>
  <si>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</si>
  <si>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</si>
  <si>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</si>
  <si>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</si>
  <si>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</si>
  <si>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</si>
  <si>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</si>
  <si>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</si>
  <si>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</si>
  <si>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</si>
  <si>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</si>
  <si>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</si>
  <si>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</si>
  <si>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</si>
  <si>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</si>
  <si>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</si>
  <si>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</si>
  <si>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</si>
  <si>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</si>
  <si>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</si>
  <si>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</si>
  <si>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</si>
  <si>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</si>
  <si>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</si>
  <si>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</si>
  <si>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</si>
  <si>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</si>
  <si>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</si>
  <si>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</si>
  <si>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</si>
  <si>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</si>
  <si>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</si>
  <si>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</si>
  <si>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</si>
  <si>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</si>
  <si>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</si>
  <si>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</si>
  <si>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</si>
  <si>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</si>
  <si>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</si>
  <si>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</si>
  <si>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</si>
  <si>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</si>
  <si>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</si>
  <si>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</si>
  <si>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</si>
  <si>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</si>
  <si>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</si>
  <si>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</si>
  <si>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</si>
  <si>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</si>
  <si>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</si>
  <si>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</si>
  <si>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</si>
  <si>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</si>
  <si>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</si>
  <si>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</si>
  <si>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</si>
  <si>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</si>
  <si>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</si>
  <si>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</si>
  <si>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</si>
  <si>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</si>
  <si>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</si>
  <si>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</si>
  <si>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</si>
  <si>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</si>
  <si>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</si>
  <si>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</si>
  <si>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</si>
  <si>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</si>
  <si>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</si>
  <si>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</si>
  <si>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</si>
  <si>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</si>
  <si>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</si>
  <si>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</si>
  <si>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</si>
  <si>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</si>
  <si>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</si>
  <si>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</si>
  <si>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</si>
  <si>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</si>
  <si>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</si>
  <si>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</si>
  <si>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</si>
  <si>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</si>
  <si>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</si>
  <si>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</si>
  <si>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</si>
  <si>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</si>
  <si>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</si>
  <si>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</si>
  <si>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</si>
  <si>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</si>
  <si>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</si>
  <si>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</si>
  <si>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</si>
  <si>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</si>
  <si>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</si>
  <si>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</si>
  <si>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</si>
  <si>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</si>
  <si>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</si>
  <si>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</si>
  <si>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</si>
  <si>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</si>
  <si>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</si>
  <si>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</si>
  <si>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</si>
  <si>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</si>
  <si>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</si>
  <si>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</si>
  <si>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</si>
  <si>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</si>
  <si>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</si>
  <si>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</si>
  <si>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</si>
  <si>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</si>
  <si>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</si>
  <si>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</si>
  <si>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</si>
  <si>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</si>
  <si>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</si>
  <si>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</si>
  <si>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</si>
  <si>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</si>
  <si>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</si>
  <si>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</si>
  <si>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</si>
  <si>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</si>
  <si>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</si>
  <si>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</si>
  <si>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</si>
  <si>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</si>
  <si>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</si>
  <si>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</si>
  <si>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</si>
  <si>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</si>
  <si>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</si>
  <si>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</si>
  <si>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</si>
  <si>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</si>
  <si>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</si>
  <si>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</si>
  <si>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</si>
  <si>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</si>
  <si>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</si>
  <si>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</si>
  <si>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</si>
  <si>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</si>
  <si>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</si>
  <si>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</si>
  <si>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</si>
  <si>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</si>
  <si>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</si>
  <si>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</si>
  <si>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</si>
  <si>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</si>
  <si>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</si>
  <si>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</si>
  <si>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</si>
  <si>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</si>
  <si>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</si>
  <si>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</si>
  <si>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</si>
  <si>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</si>
  <si>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</si>
  <si>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</si>
  <si>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</si>
  <si>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</si>
  <si>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</si>
  <si>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</si>
  <si>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</si>
  <si>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</si>
  <si>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</si>
  <si>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</si>
  <si>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</si>
  <si>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</si>
  <si>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</si>
  <si>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</si>
  <si>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</si>
  <si>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</si>
  <si>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</si>
  <si>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</si>
  <si>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</si>
  <si>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</si>
  <si>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</si>
  <si>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</si>
  <si>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</si>
  <si>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</si>
  <si>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</si>
  <si>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</si>
  <si>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</si>
  <si>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</si>
  <si>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</si>
  <si>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</si>
  <si>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</si>
  <si>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</si>
  <si>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</si>
  <si>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</si>
  <si>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</si>
  <si>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</si>
  <si>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</si>
  <si>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</si>
  <si>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</si>
  <si>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</si>
  <si>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</si>
  <si>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</si>
  <si>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</si>
  <si>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</si>
  <si>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</si>
  <si>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</si>
  <si>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</si>
  <si>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</si>
  <si>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</si>
  <si>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</si>
  <si>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</si>
  <si>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</si>
  <si>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</si>
  <si>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</si>
  <si>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</si>
  <si>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</si>
  <si>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</si>
  <si>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</si>
  <si>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</si>
  <si>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</si>
  <si>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</si>
  <si>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</si>
  <si>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</si>
  <si>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</si>
  <si>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</si>
  <si>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</si>
  <si>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</si>
  <si>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</si>
  <si>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</si>
  <si>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</si>
  <si>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</si>
  <si>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</si>
  <si>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</si>
  <si>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</si>
  <si>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</si>
  <si>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</si>
  <si>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</si>
  <si>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</si>
  <si>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</si>
  <si>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</si>
  <si>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</si>
  <si>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</si>
  <si>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</si>
  <si>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</si>
  <si>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</si>
  <si>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</si>
  <si>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</si>
  <si>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</si>
  <si>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</si>
  <si>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</si>
  <si>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</si>
  <si>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</si>
  <si>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</si>
  <si>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</si>
  <si>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</si>
  <si>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</si>
  <si>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</si>
  <si>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</si>
  <si>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</si>
  <si>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</si>
  <si>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</si>
  <si>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</si>
  <si>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</si>
  <si>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</si>
  <si>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</si>
  <si>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</si>
  <si>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</si>
  <si>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</si>
  <si>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</si>
  <si>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</si>
  <si>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</si>
  <si>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</si>
  <si>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</si>
  <si>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</si>
  <si>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</si>
  <si>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</si>
  <si>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</si>
  <si>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</si>
  <si>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</si>
  <si>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</si>
  <si>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</si>
  <si>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</si>
  <si>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</si>
  <si>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</si>
  <si>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</si>
  <si>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</si>
  <si>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</si>
  <si>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</si>
  <si>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</si>
  <si>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</si>
  <si>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</si>
  <si>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</si>
  <si>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</si>
  <si>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</si>
  <si>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</si>
  <si>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</si>
  <si>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</si>
  <si>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</si>
  <si>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</si>
  <si>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</si>
  <si>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</si>
  <si>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</si>
  <si>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</si>
  <si>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</si>
  <si>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</si>
  <si>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</si>
  <si>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</si>
  <si>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</si>
  <si>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</si>
  <si>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</si>
  <si>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</si>
  <si>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</si>
  <si>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</si>
  <si>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</si>
  <si>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</si>
  <si>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</si>
  <si>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</si>
  <si>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</si>
  <si>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</si>
  <si>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</si>
  <si>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</si>
  <si>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</si>
  <si>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</si>
  <si>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</si>
  <si>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</si>
  <si>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</si>
  <si>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</si>
  <si>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</si>
  <si>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</si>
  <si>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</si>
  <si>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</si>
  <si>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</si>
  <si>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</si>
  <si>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</si>
  <si>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Follow-up inquiries for backup content scope will be institution/implementation specific.</t>
  </si>
  <si>
    <t>DATA-14</t>
  </si>
  <si>
    <t>DATA-15</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</si>
  <si>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</si>
  <si>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</si>
  <si>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</si>
  <si>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</si>
  <si>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</si>
  <si>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</si>
  <si>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</si>
  <si>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</si>
  <si>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</si>
  <si>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</si>
  <si>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</si>
  <si>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</si>
  <si>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</si>
  <si>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</si>
  <si>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</si>
  <si>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</si>
  <si>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</si>
  <si>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</si>
  <si>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</si>
  <si>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</si>
  <si>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</si>
  <si>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</si>
  <si>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</si>
  <si>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</si>
  <si>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</si>
  <si>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</si>
  <si>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</si>
  <si>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</si>
  <si>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</si>
  <si>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</si>
  <si>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</si>
  <si>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</si>
  <si>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</si>
  <si>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</si>
  <si>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</si>
  <si>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</si>
  <si>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</si>
  <si>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</si>
  <si>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</si>
  <si>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</si>
  <si>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</si>
  <si>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</si>
  <si>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</si>
  <si>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</si>
  <si>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</si>
  <si>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</si>
  <si>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</si>
  <si>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</si>
  <si>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</si>
  <si>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</si>
  <si>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</si>
  <si>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</si>
  <si>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</si>
  <si>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</si>
  <si>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</si>
  <si>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</si>
  <si>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</si>
  <si>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</si>
  <si>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</si>
  <si>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</si>
  <si>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</si>
  <si>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</si>
  <si>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</si>
  <si>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</si>
  <si>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</si>
  <si>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</si>
  <si>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</si>
  <si>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</si>
  <si>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</si>
  <si>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</si>
  <si>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</si>
  <si>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</si>
  <si>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</si>
  <si>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</si>
  <si>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</si>
  <si>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</si>
  <si>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</si>
  <si>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</si>
  <si>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</si>
  <si>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</si>
  <si>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</si>
  <si>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</si>
  <si>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</si>
  <si>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</si>
  <si>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</si>
  <si>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</si>
  <si>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</si>
  <si>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</si>
  <si>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</si>
  <si>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</si>
  <si>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</si>
  <si>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</si>
  <si>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</si>
  <si>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</si>
  <si>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</si>
  <si>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</si>
  <si>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</si>
  <si>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</si>
  <si>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</si>
  <si>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</si>
  <si>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</si>
  <si>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</si>
  <si>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</si>
  <si>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</si>
  <si>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</si>
  <si>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</si>
  <si>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</si>
  <si>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</si>
  <si>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</si>
  <si>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</si>
  <si>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</si>
  <si>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</si>
  <si>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</si>
  <si>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</si>
  <si>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</si>
  <si>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</si>
  <si>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</si>
  <si>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</si>
  <si>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</si>
  <si>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</si>
  <si>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</si>
  <si>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</si>
  <si>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</si>
  <si>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</si>
  <si>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</si>
  <si>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</si>
  <si>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</si>
  <si>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</si>
  <si>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</si>
  <si>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</si>
  <si>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</si>
  <si>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</si>
  <si>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</si>
  <si>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</si>
  <si>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</si>
  <si>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</si>
  <si>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</si>
  <si>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</si>
  <si>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</si>
  <si>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</si>
  <si>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</si>
  <si>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</si>
  <si>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</si>
  <si>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</si>
  <si>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</si>
  <si>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</si>
  <si>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</si>
  <si>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</si>
  <si>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</si>
  <si>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</si>
  <si>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</si>
  <si>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</si>
  <si>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</si>
  <si>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</si>
  <si>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</si>
  <si>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</si>
  <si>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</si>
  <si>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</si>
  <si>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</si>
  <si>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</si>
  <si>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</si>
  <si>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</si>
  <si>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</si>
  <si>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</si>
  <si>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</si>
  <si>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</si>
  <si>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</si>
  <si>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</si>
  <si>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</si>
  <si>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</si>
  <si>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</si>
  <si>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</si>
  <si>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</si>
  <si>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</si>
  <si>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</si>
  <si>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</si>
  <si>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</si>
  <si>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</si>
  <si>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</si>
  <si>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</si>
  <si>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</si>
  <si>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</si>
  <si>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</si>
  <si>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</si>
  <si>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</si>
  <si>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</si>
  <si>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</si>
  <si>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</si>
  <si>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</si>
  <si>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</si>
  <si>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</si>
  <si>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</si>
  <si>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</si>
  <si>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</si>
  <si>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</si>
  <si>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</si>
  <si>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</si>
  <si>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VULN-01</t>
  </si>
  <si>
    <t>Are your systems and applications regularly scanned externally for vulnerabilities?</t>
  </si>
  <si>
    <t>Describe any plans to implement external vulnerability scanning for your applications.</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</si>
  <si>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</si>
  <si>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</si>
  <si>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</si>
  <si>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</si>
  <si>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</si>
  <si>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</si>
  <si>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</si>
  <si>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</si>
  <si>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</si>
  <si>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</si>
  <si>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</si>
  <si>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</si>
  <si>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</si>
  <si>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</si>
  <si>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</si>
  <si>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</si>
  <si>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</si>
  <si>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</si>
  <si>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</si>
  <si>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</si>
  <si>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</si>
  <si>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</si>
  <si>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</si>
  <si>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</si>
  <si>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</si>
  <si>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</si>
  <si>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</si>
  <si>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</si>
  <si>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</si>
  <si>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</si>
  <si>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</si>
  <si>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</si>
  <si>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</si>
  <si>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</si>
  <si>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</si>
  <si>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</si>
  <si>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</si>
  <si>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</si>
  <si>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</si>
  <si>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</si>
  <si>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</si>
  <si>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</si>
  <si>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</si>
  <si>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</si>
  <si>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</si>
  <si>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</si>
  <si>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</si>
  <si>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</si>
  <si>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</si>
  <si>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</si>
  <si>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</si>
  <si>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</si>
  <si>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</si>
  <si>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</si>
  <si>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</si>
  <si>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</si>
  <si>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</si>
  <si>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</si>
  <si>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</si>
  <si>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</si>
  <si>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</si>
  <si>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</si>
  <si>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</si>
  <si>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</si>
  <si>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</si>
  <si>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</si>
  <si>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</si>
  <si>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</si>
  <si>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</si>
  <si>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</si>
  <si>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</si>
  <si>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</si>
  <si>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</si>
  <si>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</si>
  <si>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</si>
  <si>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</si>
  <si>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</si>
  <si>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</si>
  <si>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</si>
  <si>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</si>
  <si>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</si>
  <si>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</si>
  <si>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</si>
  <si>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</si>
  <si>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</si>
  <si>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</si>
  <si>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</si>
  <si>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</si>
  <si>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</si>
  <si>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</si>
  <si>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</si>
  <si>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</si>
  <si>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</si>
  <si>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</si>
  <si>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</si>
  <si>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</si>
  <si>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</si>
  <si>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</si>
  <si>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</si>
  <si>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</si>
  <si>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</si>
  <si>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</si>
  <si>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</si>
  <si>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</si>
  <si>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</si>
  <si>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</si>
  <si>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</si>
  <si>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</si>
  <si>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</si>
  <si>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</si>
  <si>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</si>
  <si>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</si>
  <si>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</si>
  <si>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</si>
  <si>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</si>
  <si>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</si>
  <si>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</si>
  <si>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</si>
  <si>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</si>
  <si>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</si>
  <si>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</si>
  <si>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</si>
  <si>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</si>
  <si>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</si>
  <si>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</si>
  <si>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</si>
  <si>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</si>
  <si>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</si>
  <si>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</si>
  <si>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</si>
  <si>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</si>
  <si>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</si>
  <si>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</si>
  <si>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</si>
  <si>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</si>
  <si>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</si>
  <si>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</si>
  <si>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</si>
  <si>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</si>
  <si>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</si>
  <si>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</si>
  <si>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</si>
  <si>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</si>
  <si>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</si>
  <si>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</si>
  <si>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</si>
  <si>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</si>
  <si>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</si>
  <si>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</si>
  <si>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</si>
  <si>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</si>
  <si>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</si>
  <si>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</si>
  <si>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</si>
  <si>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</si>
  <si>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</si>
  <si>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</si>
  <si>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</si>
  <si>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</si>
  <si>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</si>
  <si>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</si>
  <si>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</si>
  <si>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</si>
  <si>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</si>
  <si>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</si>
  <si>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</si>
  <si>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</si>
  <si>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</si>
  <si>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</si>
  <si>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</si>
  <si>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</si>
  <si>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</si>
  <si>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</si>
  <si>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</si>
  <si>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</si>
  <si>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</si>
  <si>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</si>
  <si>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</si>
  <si>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</si>
  <si>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</si>
  <si>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</si>
  <si>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</si>
  <si>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</si>
  <si>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</si>
  <si>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</si>
  <si>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</si>
  <si>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</si>
  <si>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</si>
  <si>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</si>
  <si>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</si>
  <si>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</si>
  <si>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</si>
  <si>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</si>
  <si>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</si>
  <si>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</si>
  <si>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</si>
  <si>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</si>
  <si>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</si>
  <si>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</si>
  <si>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</si>
  <si>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</si>
  <si>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</si>
  <si>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</si>
  <si>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</si>
  <si>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</si>
  <si>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</si>
  <si>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</si>
  <si>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</si>
  <si>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</si>
  <si>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</si>
  <si>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</si>
  <si>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</si>
  <si>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</si>
  <si>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</si>
  <si>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</si>
  <si>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</si>
  <si>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</si>
  <si>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</si>
  <si>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</si>
  <si>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</si>
  <si>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</si>
  <si>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</si>
  <si>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</si>
  <si>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</si>
  <si>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</si>
  <si>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</si>
  <si>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</si>
  <si>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Have you limited access to your ML training data to only staff with an explicit business need?</t>
  </si>
  <si>
    <t>AIML-04</t>
  </si>
  <si>
    <t>Is your ML training data monitored and audited?</t>
  </si>
  <si>
    <t>AIML-05</t>
  </si>
  <si>
    <t>AIML-06</t>
  </si>
  <si>
    <t>AIML-07</t>
  </si>
  <si>
    <t>Do you watermark your ML training data?</t>
  </si>
  <si>
    <t>AIML-08</t>
  </si>
  <si>
    <t>AILM-01</t>
  </si>
  <si>
    <t>AILM-02</t>
  </si>
  <si>
    <t>AILM-03</t>
  </si>
  <si>
    <t>AILM-04</t>
  </si>
  <si>
    <t>AILM-05</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</si>
  <si>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</si>
  <si>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</si>
  <si>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</si>
  <si>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</si>
  <si>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</si>
  <si>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</si>
  <si>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</si>
  <si>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</si>
  <si>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</si>
  <si>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</si>
  <si>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</si>
  <si>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</si>
  <si>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</si>
  <si>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</si>
  <si>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</si>
  <si>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</si>
  <si>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</si>
  <si>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</si>
  <si>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</si>
  <si>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</si>
  <si>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</si>
  <si>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</si>
  <si>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</si>
  <si>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</si>
  <si>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</si>
  <si>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</si>
  <si>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</si>
  <si>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</si>
  <si>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</si>
  <si>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</si>
  <si>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</si>
  <si>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</si>
  <si>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</si>
  <si>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</si>
  <si>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</si>
  <si>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</si>
  <si>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</si>
  <si>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</si>
  <si>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</si>
  <si>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</si>
  <si>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</si>
  <si>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</si>
  <si>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</si>
  <si>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</si>
  <si>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</si>
  <si>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</si>
  <si>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</si>
  <si>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</si>
  <si>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</si>
  <si>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</si>
  <si>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</si>
  <si>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</si>
  <si>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</si>
  <si>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</si>
  <si>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</si>
  <si>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</si>
  <si>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</si>
  <si>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</si>
  <si>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</si>
  <si>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</si>
  <si>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</si>
  <si>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</si>
  <si>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</si>
  <si>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</si>
  <si>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</si>
  <si>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</si>
  <si>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</si>
  <si>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</si>
  <si>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</si>
  <si>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</si>
  <si>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</si>
  <si>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</si>
  <si>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</si>
  <si>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</si>
  <si>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</si>
  <si>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</si>
  <si>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</si>
  <si>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</si>
  <si>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</si>
  <si>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</si>
  <si>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</si>
  <si>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</si>
  <si>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</si>
  <si>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</si>
  <si>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</si>
  <si>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</si>
  <si>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</si>
  <si>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</si>
  <si>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</si>
  <si>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</si>
  <si>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</si>
  <si>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</si>
  <si>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</si>
  <si>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</si>
  <si>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</si>
  <si>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</si>
  <si>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</si>
  <si>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</si>
  <si>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</si>
  <si>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</si>
  <si>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</si>
  <si>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</si>
  <si>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</si>
  <si>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</si>
  <si>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</si>
  <si>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</si>
  <si>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</si>
  <si>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</si>
  <si>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</si>
  <si>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</si>
  <si>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</si>
  <si>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</si>
  <si>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</si>
  <si>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</si>
  <si>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</si>
  <si>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</si>
  <si>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</si>
  <si>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</si>
  <si>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</si>
  <si>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</si>
  <si>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</si>
  <si>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</si>
  <si>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</si>
  <si>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</si>
  <si>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</si>
  <si>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</si>
  <si>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</si>
  <si>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</si>
  <si>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</si>
  <si>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</si>
  <si>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</si>
  <si>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</si>
  <si>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</si>
  <si>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</si>
  <si>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</si>
  <si>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</si>
  <si>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</si>
  <si>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</si>
  <si>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</si>
  <si>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</si>
  <si>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</si>
  <si>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</si>
  <si>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</si>
  <si>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</si>
  <si>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</si>
  <si>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</si>
  <si>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</si>
  <si>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</si>
  <si>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</si>
  <si>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</si>
  <si>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</si>
  <si>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</si>
  <si>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</si>
  <si>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</si>
  <si>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</si>
  <si>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</si>
  <si>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</si>
  <si>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</si>
  <si>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</si>
  <si>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</si>
  <si>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</si>
  <si>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</si>
  <si>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</si>
  <si>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</si>
  <si>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</si>
  <si>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</si>
  <si>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</si>
  <si>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</si>
  <si>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</si>
  <si>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</si>
  <si>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</si>
  <si>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</si>
  <si>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</si>
  <si>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</si>
  <si>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</si>
  <si>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</si>
  <si>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</si>
  <si>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</si>
  <si>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</si>
  <si>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</si>
  <si>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</si>
  <si>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</si>
  <si>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</si>
  <si>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</si>
  <si>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</si>
  <si>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</si>
  <si>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</si>
  <si>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</si>
  <si>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</si>
  <si>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</si>
  <si>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</si>
  <si>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</si>
  <si>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</si>
  <si>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</si>
  <si>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</si>
  <si>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</si>
  <si>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</si>
  <si>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</si>
  <si>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</si>
  <si>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</si>
  <si>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</si>
  <si>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</si>
  <si>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</si>
  <si>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</si>
  <si>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</si>
  <si>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</si>
  <si>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</si>
  <si>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</si>
  <si>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</si>
  <si>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</si>
  <si>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</si>
  <si>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</si>
  <si>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</si>
  <si>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</si>
  <si>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</si>
  <si>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</si>
  <si>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</si>
  <si>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</si>
  <si>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</si>
  <si>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</si>
  <si>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</si>
  <si>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</si>
  <si>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</si>
  <si>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</si>
  <si>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</si>
  <si>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</si>
  <si>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</si>
  <si>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</si>
  <si>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</si>
  <si>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</si>
  <si>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</si>
  <si>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</si>
  <si>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</si>
  <si>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</si>
  <si>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</si>
  <si>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</si>
  <si>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</si>
  <si>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</si>
  <si>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</si>
  <si>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</si>
  <si>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</si>
  <si>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</si>
  <si>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</si>
  <si>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</si>
  <si>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</si>
  <si>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</si>
  <si>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</si>
  <si>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</si>
  <si>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</si>
  <si>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</si>
  <si>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</si>
  <si>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</si>
  <si>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</si>
  <si>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</si>
  <si>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</si>
  <si>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</si>
  <si>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</si>
  <si>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</si>
  <si>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</si>
  <si>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</si>
  <si>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</si>
  <si>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</si>
  <si>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</si>
  <si>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</si>
  <si>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</si>
  <si>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</si>
  <si>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</si>
  <si>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</si>
  <si>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</si>
  <si>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</si>
  <si>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</si>
  <si>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</si>
  <si>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</si>
  <si>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</si>
  <si>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</si>
  <si>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</si>
  <si>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</si>
  <si>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</si>
  <si>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</si>
  <si>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</si>
  <si>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</si>
  <si>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</si>
  <si>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</si>
  <si>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</si>
  <si>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</si>
  <si>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</si>
  <si>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</si>
  <si>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</si>
  <si>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</si>
  <si>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</si>
  <si>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</si>
  <si>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</si>
  <si>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</si>
  <si>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</si>
  <si>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</si>
  <si>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</si>
  <si>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</si>
  <si>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</si>
  <si>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</si>
  <si>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</si>
  <si>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</si>
  <si>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</si>
  <si>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</si>
  <si>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</si>
  <si>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</si>
  <si>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</si>
  <si>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</si>
  <si>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</si>
  <si>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</si>
  <si>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</si>
  <si>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</si>
  <si>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</si>
  <si>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</si>
  <si>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</si>
  <si>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</si>
  <si>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</si>
  <si>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</si>
  <si>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</si>
  <si>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</si>
  <si>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</si>
  <si>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</si>
  <si>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</si>
  <si>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</si>
  <si>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</si>
  <si>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</si>
  <si>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</si>
  <si>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</si>
  <si>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</si>
  <si>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</si>
  <si>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</si>
  <si>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</si>
  <si>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</si>
  <si>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</si>
  <si>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</si>
  <si>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</si>
  <si>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</si>
  <si>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</si>
  <si>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</si>
  <si>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</si>
  <si>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</si>
  <si>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</si>
  <si>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</si>
  <si>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</si>
  <si>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</si>
  <si>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</si>
  <si>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</si>
  <si>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</si>
  <si>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</si>
  <si>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</si>
  <si>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</si>
  <si>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</si>
  <si>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</si>
  <si>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</si>
  <si>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</si>
  <si>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</si>
  <si>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</si>
  <si>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</si>
  <si>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</si>
  <si>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</si>
  <si>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</si>
  <si>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</si>
  <si>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</si>
  <si>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</si>
  <si>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</si>
  <si>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</si>
  <si>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</si>
  <si>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</si>
  <si>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</si>
  <si>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</si>
  <si>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</si>
  <si>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</si>
  <si>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</si>
  <si>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</si>
  <si>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</si>
  <si>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</si>
  <si>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</si>
  <si>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</si>
  <si>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</si>
  <si>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</si>
  <si>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</si>
  <si>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</si>
  <si>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If sensitive data is introduced to your solution's AI model, can the data be removed from the AI model by request?*</t>
  </si>
  <si>
    <t>Is user input data used to influence your solution's AI model?*</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</si>
  <si>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</si>
  <si>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</si>
  <si>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</si>
  <si>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</si>
  <si>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</si>
  <si>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</si>
  <si>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</si>
  <si>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</si>
  <si>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</si>
  <si>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</si>
  <si>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</si>
  <si>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</si>
  <si>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</si>
  <si>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</si>
  <si>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</si>
  <si>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</si>
  <si>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</si>
  <si>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</si>
  <si>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</si>
  <si>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</si>
  <si>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</si>
  <si>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</si>
  <si>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</si>
  <si>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</si>
  <si>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</si>
  <si>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</si>
  <si>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</si>
  <si>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</si>
  <si>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</si>
  <si>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</si>
  <si>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</si>
  <si>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</si>
  <si>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</si>
  <si>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</si>
  <si>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</si>
  <si>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</si>
  <si>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</si>
  <si>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</si>
  <si>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</si>
  <si>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</si>
  <si>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</si>
  <si>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</si>
  <si>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</si>
  <si>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</si>
  <si>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</si>
  <si>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</si>
  <si>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</si>
  <si>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</si>
  <si>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</si>
  <si>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</si>
  <si>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</si>
  <si>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</si>
  <si>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</si>
  <si>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</si>
  <si>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</si>
  <si>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</si>
  <si>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</si>
  <si>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</si>
  <si>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</si>
  <si>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</si>
  <si>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</si>
  <si>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</si>
  <si>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</si>
  <si>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</si>
  <si>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</si>
  <si>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</si>
  <si>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</si>
  <si>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</si>
  <si>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</si>
  <si>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</si>
  <si>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</si>
  <si>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</si>
  <si>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</si>
  <si>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</si>
  <si>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</si>
  <si>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</si>
  <si>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</si>
  <si>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</si>
  <si>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</si>
  <si>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</si>
  <si>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</si>
  <si>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</si>
  <si>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</si>
  <si>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</si>
  <si>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</si>
  <si>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</si>
  <si>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</si>
  <si>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</si>
  <si>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</si>
  <si>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</si>
  <si>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</si>
  <si>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</si>
  <si>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</si>
  <si>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</si>
  <si>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</si>
  <si>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</si>
  <si>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</si>
  <si>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</si>
  <si>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</si>
  <si>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</si>
  <si>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</si>
  <si>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</si>
  <si>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</si>
  <si>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</si>
  <si>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</si>
  <si>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</si>
  <si>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</si>
  <si>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</si>
  <si>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</si>
  <si>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</si>
  <si>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</si>
  <si>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</si>
  <si>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</si>
  <si>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</si>
  <si>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</si>
  <si>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</si>
  <si>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</si>
  <si>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</si>
  <si>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</si>
  <si>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</si>
  <si>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</si>
  <si>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</si>
  <si>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</si>
  <si>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</si>
  <si>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</si>
  <si>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</si>
  <si>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</si>
  <si>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</si>
  <si>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</si>
  <si>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</si>
  <si>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</si>
  <si>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</si>
  <si>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</si>
  <si>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</si>
  <si>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</si>
  <si>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</si>
  <si>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</si>
  <si>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</si>
  <si>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</si>
  <si>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</si>
  <si>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</si>
  <si>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</si>
  <si>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</si>
  <si>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</si>
  <si>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</si>
  <si>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</si>
  <si>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</si>
  <si>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</si>
  <si>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</si>
  <si>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</si>
  <si>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</si>
  <si>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</si>
  <si>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</si>
  <si>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</si>
  <si>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</si>
  <si>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</si>
  <si>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</si>
  <si>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</si>
  <si>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</si>
  <si>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</si>
  <si>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</si>
  <si>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</si>
  <si>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</si>
  <si>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</si>
  <si>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</si>
  <si>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</si>
  <si>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</si>
  <si>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</si>
  <si>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</si>
  <si>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</si>
  <si>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</si>
  <si>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</si>
  <si>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</si>
  <si>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</si>
  <si>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</si>
  <si>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</si>
  <si>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</si>
  <si>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</si>
  <si>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</si>
  <si>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</si>
  <si>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</si>
  <si>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</si>
  <si>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</si>
  <si>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</si>
  <si>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</si>
  <si>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</si>
  <si>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</si>
  <si>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</si>
  <si>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</si>
  <si>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</si>
  <si>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</si>
  <si>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</si>
  <si>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</si>
  <si>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</si>
  <si>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</si>
  <si>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</si>
  <si>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</si>
  <si>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</si>
  <si>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</si>
  <si>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</si>
  <si>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</si>
  <si>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</si>
  <si>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</si>
  <si>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</si>
  <si>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</si>
  <si>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</si>
  <si>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</si>
  <si>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</si>
  <si>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</si>
  <si>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</si>
  <si>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</si>
  <si>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</si>
  <si>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</si>
  <si>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</si>
  <si>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</si>
  <si>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</si>
  <si>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</si>
  <si>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</si>
  <si>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</si>
  <si>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</si>
  <si>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</si>
  <si>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</si>
  <si>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</si>
  <si>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</si>
  <si>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</si>
  <si>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</si>
  <si>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</si>
  <si>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</si>
  <si>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</si>
  <si>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</si>
  <si>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</si>
  <si>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</si>
  <si>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</si>
  <si>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</si>
  <si>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</si>
  <si>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</si>
  <si>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</si>
  <si>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</si>
  <si>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</si>
  <si>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</si>
  <si>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</si>
  <si>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</si>
  <si>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</si>
  <si>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</si>
  <si>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</si>
  <si>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</si>
  <si>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</si>
  <si>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</si>
  <si>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</si>
  <si>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</si>
  <si>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</si>
  <si>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</si>
  <si>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</si>
  <si>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</si>
  <si>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</si>
  <si>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</si>
  <si>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</si>
  <si>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</si>
  <si>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</si>
  <si>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</si>
  <si>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</si>
  <si>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</si>
  <si>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</si>
  <si>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</si>
  <si>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</si>
  <si>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</si>
  <si>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</si>
  <si>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</si>
  <si>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</si>
  <si>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</si>
  <si>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</si>
  <si>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</si>
  <si>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</si>
  <si>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</si>
  <si>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</si>
  <si>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</si>
  <si>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</si>
  <si>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</si>
  <si>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</si>
  <si>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</si>
  <si>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</si>
  <si>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</si>
  <si>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</si>
  <si>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</si>
  <si>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</si>
  <si>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</si>
  <si>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</si>
  <si>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</si>
  <si>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</si>
  <si>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</si>
  <si>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</si>
  <si>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</si>
  <si>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</si>
  <si>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</si>
  <si>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</si>
  <si>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</si>
  <si>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</si>
  <si>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</si>
  <si>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</si>
  <si>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</si>
  <si>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</si>
  <si>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</si>
  <si>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</si>
  <si>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</si>
  <si>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</si>
  <si>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</si>
  <si>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</si>
  <si>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</si>
  <si>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</si>
  <si>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</si>
  <si>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</si>
  <si>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</si>
  <si>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</si>
  <si>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</si>
  <si>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</si>
  <si>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</si>
  <si>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</si>
  <si>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</si>
  <si>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</si>
  <si>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</si>
  <si>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</si>
  <si>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</si>
  <si>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</si>
  <si>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</si>
  <si>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</si>
  <si>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</si>
  <si>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</si>
  <si>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</si>
  <si>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</si>
  <si>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</si>
  <si>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</si>
  <si>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</si>
  <si>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</si>
  <si>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</si>
  <si>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</si>
  <si>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</si>
  <si>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</si>
  <si>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</si>
  <si>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</si>
  <si>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</si>
  <si>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</si>
  <si>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</si>
  <si>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</si>
  <si>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</si>
  <si>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</si>
  <si>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</si>
  <si>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</si>
  <si>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</si>
  <si>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</si>
  <si>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</si>
  <si>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</si>
  <si>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</si>
  <si>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</si>
  <si>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</si>
  <si>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</si>
  <si>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</si>
  <si>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</si>
  <si>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</si>
  <si>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</si>
  <si>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</si>
  <si>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</si>
  <si>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</si>
  <si>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</si>
  <si>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</si>
  <si>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</si>
  <si>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</si>
  <si>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</si>
  <si>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</si>
  <si>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</si>
  <si>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</si>
  <si>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</si>
  <si>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</si>
  <si>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</si>
  <si>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</si>
  <si>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</si>
  <si>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</si>
  <si>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</si>
  <si>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</si>
  <si>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</si>
  <si>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</si>
  <si>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</si>
  <si>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</si>
  <si>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</si>
  <si>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</si>
  <si>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</si>
  <si>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</si>
  <si>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</si>
  <si>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</si>
  <si>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</si>
  <si>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</si>
  <si>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</si>
  <si>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</si>
  <si>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</si>
  <si>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</si>
  <si>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</si>
  <si>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</si>
  <si>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</si>
  <si>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</si>
  <si>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</si>
  <si>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</si>
  <si>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</si>
  <si>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</si>
  <si>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</si>
  <si>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</si>
  <si>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</si>
  <si>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</si>
  <si>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</si>
  <si>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</si>
  <si>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</si>
  <si>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</si>
  <si>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</si>
  <si>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</si>
  <si>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</si>
  <si>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</si>
  <si>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</si>
  <si>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</si>
  <si>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</si>
  <si>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</si>
  <si>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</si>
  <si>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</si>
  <si>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</si>
  <si>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</si>
  <si>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</si>
  <si>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</si>
  <si>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</si>
  <si>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</si>
  <si>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</si>
  <si>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</si>
  <si>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</si>
  <si>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</si>
  <si>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</si>
  <si>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</si>
  <si>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</si>
  <si>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</si>
  <si>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</si>
  <si>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</si>
  <si>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</si>
  <si>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</si>
  <si>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</si>
  <si>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</si>
  <si>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</si>
  <si>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</si>
  <si>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</si>
  <si>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</si>
  <si>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</si>
  <si>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</si>
  <si>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</si>
  <si>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</si>
  <si>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</si>
  <si>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</si>
  <si>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</si>
  <si>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</si>
  <si>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</si>
  <si>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</si>
  <si>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</si>
  <si>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</si>
  <si>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</si>
  <si>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</si>
  <si>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</si>
  <si>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</si>
  <si>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</si>
  <si>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</si>
  <si>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</si>
  <si>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</si>
  <si>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</si>
  <si>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</si>
  <si>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</si>
  <si>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</si>
  <si>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</si>
  <si>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</si>
  <si>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</si>
  <si>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</si>
  <si>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</si>
  <si>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</si>
  <si>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</si>
  <si>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</si>
  <si>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</si>
  <si>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</si>
  <si>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</si>
  <si>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</si>
  <si>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</si>
  <si>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</si>
  <si>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</si>
  <si>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</si>
  <si>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</si>
  <si>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</si>
  <si>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</si>
  <si>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</si>
  <si>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</si>
  <si>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</si>
  <si>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</si>
  <si>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</si>
  <si>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</si>
  <si>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</si>
  <si>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</si>
  <si>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</si>
  <si>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</si>
  <si>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</si>
  <si>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</si>
  <si>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</si>
  <si>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</si>
  <si>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</si>
  <si>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Based on the response to AIQU-01, this question does not apply to this product or service.</t>
  </si>
  <si>
    <t>Based on the response to AIQU-02, this question does not apply to this product or service.</t>
  </si>
  <si>
    <t>Answer "yes" even if you do not create your own machine learning solutions, and answer the questions as they apply to your contractual relationship with the third party you utilize.</t>
  </si>
  <si>
    <t>DO complete the Machine Learning section (AIML)</t>
  </si>
  <si>
    <t>DO NOT complete the Machine Learning section (AIML)</t>
  </si>
  <si>
    <t>Answer "yes" even if you do not train your own LLM models, and answer the questions as they apply to your contractual relationship with the third party you utilize.</t>
  </si>
  <si>
    <t>DO complete the Large Language Model section (AILM)</t>
  </si>
  <si>
    <t>DO NOT complete the Large Language Model section (AILM)</t>
  </si>
  <si>
    <t>Examples include NIST AI RMF, OWASP Top 10, RAFT, and MITRE ATLAS.</t>
  </si>
  <si>
    <t>Provide the AI risk framework, model, or methodology used.</t>
  </si>
  <si>
    <t>Describe your current AI risk management strategy. Provide a timeline for implementation of an AI risk framework, model, or methodology.</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</si>
  <si>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</si>
  <si>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</si>
  <si>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Describe the level of AI feature control at the institutional and user level.</t>
  </si>
  <si>
    <t>Provide alternate workflows to disable AI features. Describe plans to include control of AI features.</t>
  </si>
  <si>
    <t>To verify whether customers have control over AI features and can opt out when AI is not desired or creates compliance concerns.</t>
  </si>
  <si>
    <t>How easy is it to disable/enable AI features?</t>
  </si>
  <si>
    <t>Explain what alternative responsible AI awareness activities are in place, including whether future training is planned.</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</si>
  <si>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</si>
  <si>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</si>
  <si>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</si>
  <si>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</si>
  <si>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Can you provide examples of data loss prevention (DLP) features? Where are these DLP solutions implemented? Are these DLP features customizable?</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</si>
  <si>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</si>
  <si>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</si>
  <si>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</si>
  <si>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Provide the standard or framework used to identify and measure AI risk.</t>
  </si>
  <si>
    <t>Provide a timeline for performing an AI specific risk assessment. Describe your plan for identifying and measuring AI risk in the future.</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</si>
  <si>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</si>
  <si>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</si>
  <si>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</si>
  <si>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</si>
  <si>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</si>
  <si>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Provide documentation on how to enable AI features. Include a time estimate for the time between enabling the feature and when the feature is accessible to users.</t>
  </si>
  <si>
    <t>This helps an organization create a business continuity plan and incident recovery plan.</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</si>
  <si>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</si>
  <si>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</si>
  <si>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</si>
  <si>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</si>
  <si>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</si>
  <si>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Describe how the AI model supports data deletion or unlearning and whether it is manual or automated; include retention timelines, limitations, and how requests are handled. Reference compliance with FERPA, GDPR Article 17, and state privacy laws.</t>
  </si>
  <si>
    <t>If data removal or unlearning is not supported, explain why and describe compensating controls (e.g., filtering, short-term memory, differential privacy). Clarify how sensitive data is managed, and note any future plans to support deletion requests.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</si>
  <si>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</si>
  <si>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</si>
  <si>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Please answer based on whether your solution uses user input data (e.g., prompts, uploads, queries) to fine-tune, train, or otherwise influence the behavior of your AI model. Consider any use of user data for model improvement, personalization, or aggregated learning.</t>
  </si>
  <si>
    <t>Describe whether input data is used for personalization, training, or continuous learning. Indicate whether, if data is anonymized, institutions are notified or can opt out, and describe how use aligns with FERPA, GDPR, and state laws.</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</si>
  <si>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</si>
  <si>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</si>
  <si>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</si>
  <si>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Please answer based on whether your AI features generate audit logs that record user identity, timestamp, and actions taken. Include log retention, immutability, access for administrators or auditors, and how logs support compliance and incident response.</t>
  </si>
  <si>
    <t>Describe what audit logs capture, how long they are retained, whether they are immutable, and how they support audits and oversight.</t>
  </si>
  <si>
    <t>If audit logging is not available, explain why and describe alternate controls or planned timelines to support monitoring, incident response, and compliance.</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</si>
  <si>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</si>
  <si>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</si>
  <si>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</si>
  <si>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</si>
  <si>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</si>
  <si>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Describe your use of SAST, SBOM, and monitoring of third-party AI components, and how you address vulnerabilities in line with NIST and state requirements</t>
  </si>
  <si>
    <t>If supply chain risk planning is not in place, explain why and note any compensating controls or future plans.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</si>
  <si>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</si>
  <si>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</si>
  <si>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</si>
  <si>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Describe how training data is separated from production data, including anonymization, segregation controls, or exclusions. Indicate whether institutions can opt out of data being used in training.</t>
  </si>
  <si>
    <t>If data separation is not in place, explain why and describe compensating controls to protect institutional data from being used in training. Include whether opt-out options are available or planned.</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</si>
  <si>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</si>
  <si>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</si>
  <si>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Describe the process used to authenticate and verify ML model feedback. Include how you detect and mitigate attempts to introduce model skewing, poisoning, or date/phrase attacks.</t>
  </si>
  <si>
    <t>Explain why the ML model's feedback is not currently authenticated or verified.</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</si>
  <si>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</si>
  <si>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</si>
  <si>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Explain why the data is not vetted, validated, or verified. Include any future plans to implement this process, and describe any current controls that serve as substitutes for formal vetting and validation.</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</si>
  <si>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</si>
  <si>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</si>
  <si>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Describe the current process for how training data is monitored for any anomalies and audited to detect any data tampering.</t>
  </si>
  <si>
    <t>Explain why training data is not currently monitored or audited, and describe any alternative safeguards in place or future plans to implement monitoring and auditing.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</si>
  <si>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</si>
  <si>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</si>
  <si>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Include what roles at your organization have the ability to view or modify ML training data.</t>
  </si>
  <si>
    <t>Explain why access to training data is not restricted to staff with an explicit business need. Include any existing policies or controls that currently govern data access.</t>
  </si>
  <si>
    <t>Describe the defensive strategies in place to protect ML features and how they are tested for effectiveness.</t>
  </si>
  <si>
    <t>Explain why training or other defensive mechanisms have not been implemented. Include controls or other policies in place that would substitute.</t>
  </si>
  <si>
    <t>Adversarial training and defenses help keep models resilient against manipulation and evasion attacks.</t>
  </si>
  <si>
    <t>What adversarial training is performed on the ML? What defense mechanisms are incorporated into the ML? How is the input validated for the ML?</t>
  </si>
  <si>
    <t>Describe how the model is made transparent through documentation and logging of inputs and outputs. Provide explanations for predictions.</t>
  </si>
  <si>
    <t>Explain why the model is not documented, does not log inputs/outputs, or lacks explainability features, and describe any compensating controls or future plans to increase transparency.</t>
  </si>
  <si>
    <t>This process helps ensure accountability and detect misuse or anomalies.</t>
  </si>
  <si>
    <t>How long are input/output logs retained, and how is log data protected? How often are transparency and logging processes reviewed or updated? Do logs enable post-hoc trigger correlation?</t>
  </si>
  <si>
    <t>Describe the watermarking process for training data and how it helps track, trace, or protect against compromise. Include dataset fingerprinting, provenance attestations, tools, or techniques used.</t>
  </si>
  <si>
    <t>Explain why training data is not watermarked and any compensating controls or future plans.</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</si>
  <si>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</si>
  <si>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</si>
  <si>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</si>
  <si>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</si>
  <si>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</si>
  <si>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Describe your processes for sourcing, licensing, validating, and refreshing training data. Include how sensitive data is handled and how quality checks are performed.</t>
  </si>
  <si>
    <t>State whether there are any governance measures, alternative practices, or no controls in place. Summarize how training data is currently managed.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</si>
  <si>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</si>
  <si>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</si>
  <si>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Describe how human approval or oversight is applied before sensitive or high-impact LLM actions are executed. Include where approvals occur and what roles are involved.</t>
  </si>
  <si>
    <t>Explain whether alternative safeguards exist, whether plans are in place, or if no oversight is applied. Clarify the degree of autonomy currently allowed.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</si>
  <si>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</si>
  <si>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</si>
  <si>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Describe how plugins or external tools are restricted. Include whether limits, validation, or monitoring are applied.</t>
  </si>
  <si>
    <t>Indicate whether compensating controls, planned restrictions, or no limitations are in place. Summarize how plugin or tool use is currently handled.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</si>
  <si>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</si>
  <si>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</si>
  <si>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Describe how resource usage such as tokens, CPU, memory, or API calls is managed. Include whether quotas, monitoring, or escalation paths are defined.</t>
  </si>
  <si>
    <t>Explain whether any alternative practices, future plans, or no limits are in place. Summarize how resource consumption is currently handled.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</si>
  <si>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</si>
  <si>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</si>
  <si>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Describe how you improve factual reliability. Include whether methods such as retrieval augmentation, fact checking, or human review are applied</t>
  </si>
  <si>
    <t>Indicate whether compensating measures, future plans, or no safeguards exist. Summarize how accuracy is currently managed.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</si>
  <si>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</si>
  <si>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</si>
  <si>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To ensure transparency and verify the vendor provides accessible privacy documentation that institutions can review and share with stakeholders.</t>
  </si>
  <si>
    <t>Please provide the direct URL to your privacy policy and confirm how frequently it is reviewed and updated.</t>
  </si>
  <si>
    <t>To gather voluntary disclosures that provide additional context beyond required responses, helping assessors understand the vendor's privacy culture and proactive commitment to data protection.</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</si>
  <si>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</si>
  <si>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</si>
  <si>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</si>
  <si>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</si>
  <si>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</si>
  <si>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</si>
  <si>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</si>
  <si>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</si>
  <si>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To ensure transparency with end users about data practices and compliance with privacy notice requirements under FERPA, GDPR, CCPA, and other applicable regulations.</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</si>
  <si>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</si>
  <si>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</si>
  <si>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</si>
  <si>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</si>
  <si>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</si>
  <si>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</si>
  <si>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To verify appropriate security controls are in place to protect personal data from breaches, unauthorized disclosure, and both external and internal threats.</t>
  </si>
  <si>
    <t>Describe your access control mechanisms, encryption methods, and incident response procedures.</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</si>
  <si>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</si>
  <si>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</si>
  <si>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</si>
  <si>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</si>
  <si>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</si>
  <si>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</si>
  <si>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</si>
  <si>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</si>
  <si>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To identify AI-related privacy risks including potential bias, unintended disclosures, lack of explainability in automated decision-making, and training data provenance concerns.</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</si>
  <si>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</si>
  <si>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</si>
  <si>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N/A is only an acceptable answer if AI is the core function of your product.</t>
  </si>
  <si>
    <t>N/A is only an acceptable answer if you answered "no" to ALL of the following 7 questions: PRGN-01, 02, 03, 04 and PDAT-01, 02, 03</t>
  </si>
  <si>
    <t>N/A is only an acceptable answer if you answered "no" to ALL of the following 7 questions: PRGN-01, 02, 03, 04 and PDAT-01, 02, 04</t>
  </si>
  <si>
    <t>N/A is only an acceptable answer if you answered "no" to ALL of the following 7 questions: PRGN-01, 02, 03, 04 and PDAT-01, 02, 05</t>
  </si>
  <si>
    <t>N/A is only an acceptable answer if you answered "no" to ALL of the following 7 questions: PRGN-01, 02, 03, 04 and PDAT-01, 02, 06</t>
  </si>
  <si>
    <t>N/A is only an acceptable answer if you answered "no" to ALL of the following 7 questions: PRGN-01, 02, 03, 04 and PDAT-01, 02, 07</t>
  </si>
  <si>
    <t>N/A is only an acceptable answer if you answered "no" to ALL of the following 7 questions: PRGN-01, 02, 03, 04 and PDAT-01, 02, 08</t>
  </si>
  <si>
    <t>N/A is only an acceptable answer if you answered "no" to ALL of the following 7 questions: PRGN-01, 02, 03, 04 and PDAT-01, 02, 09</t>
  </si>
  <si>
    <t>N/A is only an acceptable answer if you answered "no" to ALL of the following 7 questions: PRGN-01, 02, 03, 04 and PDAT-01, 02, 10</t>
  </si>
  <si>
    <t>N/A is only an acceptable answer if you answered "no" to ALL of the following 7 questions: PRGN-01, 02, 03, 04 and PDAT-01, 02, 11</t>
  </si>
  <si>
    <t>N/A is only an acceptable answer if you answered "no" to ALL of the following 7 questions: PRGN-01, 02, 03, 04 and PDAT-01, 02, 12</t>
  </si>
  <si>
    <t>N/A is only an acceptable answer if you answered "no" to ALL of the following 7 questions: PRGN-01, 02, 03, 04 and PDAT-01, 02, 13</t>
  </si>
  <si>
    <t>N/A is only an acceptable answer if you answered "no" to ALL of the following 7 questions: PRGN-01, 02, 03, 04 and PDAT-01, 02, 14</t>
  </si>
  <si>
    <t>SCORE LOCATIONS</t>
  </si>
  <si>
    <t>START HERE</t>
  </si>
  <si>
    <t>Jump to</t>
  </si>
  <si>
    <t>Based on the response to AAAI-01, this question does not apply to this product or service. Please select N/A.</t>
  </si>
  <si>
    <t>Do you have a process and implemented procedures for managing your software supply chain (e.g., libraries, repositories, frameworks, etc.)?</t>
  </si>
  <si>
    <t>Do you have an implemented system configuration management process (e.g., secure "gold" images, etc.)?*</t>
  </si>
  <si>
    <t>Do you perform privacy impact assessments of third parties that collect, process, or have access to personal data to ensure they meet industry and regulatory standards and to mitigate harmful, unethical, or discriminatory impacts on data subjects?</t>
  </si>
  <si>
    <t>Have you performed a Data Privacy Impact Assessment for the solution/project?</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</si>
  <si>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</si>
  <si>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</si>
  <si>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The sharing of institutional data to fourth-parties may increase the risk to the institution and thus, we want to know who gets what data, when they get that data, and why they get that data.</t>
  </si>
  <si>
    <t>Knowing the protections and legal agreements in place for third-party data sharing may assist analysts in determining residual risk.</t>
  </si>
  <si>
    <t>Describe how the application is distributed. Also, state any plans to publish the app to a trusted source.</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</si>
  <si>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</si>
  <si>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Answer "yes" if your solution has internal limits to password complexity (max length, certain special characters unsupported, etc.).</t>
  </si>
  <si>
    <t>Summarize your implemented system configuration management process.</t>
  </si>
  <si>
    <t>Please describe any plans to implement third-party library dependency tracking.</t>
  </si>
  <si>
    <t>Please describe your program to track these dependencies.</t>
  </si>
  <si>
    <t>Provide reference the  process/procedure to manage releases.</t>
  </si>
  <si>
    <t>Describe plans to minimize the impact of downtime based on predefined off-peak hours.</t>
  </si>
  <si>
    <t>Describe your overall strategy to accomplish these elements.</t>
  </si>
  <si>
    <t>When data is moved physically (e.g., print, etc.) off-site, the policies and implemented procedures are important to know. Unencrypted data taken outside secured areas introduces unnecessary risks.</t>
  </si>
  <si>
    <t>Provide reference to your data ownership documentation.</t>
  </si>
  <si>
    <t>Provide a detailed description of the implemented strategy (i.e., batteries, generator).</t>
  </si>
  <si>
    <t>Summarize why you will not comply with applicable breach notification laws.</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</si>
  <si>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</si>
  <si>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</si>
  <si>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State plans to implement coverage in the future or how you can provide breach/liability coverage to the institution without it.</t>
  </si>
  <si>
    <t>Describe your external application vulnerability scanning strategy.</t>
  </si>
  <si>
    <t>Having a previous data breach can indicate a level of risk that will indicate that the institution should further investigate changes made after the breach.</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</si>
  <si>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</si>
  <si>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It is important to have a procedure in place to mitigate privacy risks as they come up.</t>
  </si>
  <si>
    <t>Do any parts of your institutional policy conflict with the solution provider's standard practices?</t>
  </si>
  <si>
    <t>The institution should know which laws apply to the data to which the solution provider will have access. You should also have a thorough understanding of how requests from law enforcement will be handled.</t>
  </si>
  <si>
    <t>Companies may collect information for purposes not outlined in the service agreement, including quality assurance, marketing, etc. Institutions should have a thorough understanding of what data is being used and how.</t>
  </si>
  <si>
    <t>Such processes would include descriptions of request processes individuals can follow to review their information and written processes a data subject may use to ask for changes or corrections to data held about them.</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</si>
  <si>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</si>
  <si>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</si>
  <si>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</si>
  <si>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Provide the following details about your responsible AI training program: learning objectives, frequency, alignment with standards (e.g., NIST), and who is required to complete the training.</t>
  </si>
  <si>
    <t>Describe capabilities such as content (text, image, audio, speech, video, or code) generation, visual interpretation, and predictive analytics. This encompasses all AI implementations, including third-party AI features. Clarify use cases or limits of the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</si>
  <si>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</si>
  <si>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</si>
  <si>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</si>
  <si>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Provide a timeline for institutions to have the capability to disable AI features in the event of an incident.</t>
  </si>
  <si>
    <t>Provide a timeline for institutions to have the capability to enable AI features in the event of an incident recovery.</t>
  </si>
  <si>
    <t>Describe how the training data is vetted, validated and verified before the AI model is trained. Include the process along with the AI/ML data policy. Describe your validation of data labelers to validate the accuracy of the data labeling.</t>
  </si>
  <si>
    <t>Describe other compensating controls for mitigating prompt-injection risk.</t>
  </si>
  <si>
    <t xml:space="preserve">This worksheet is a combination of cells that are auto populated as well as ones to be filled in. </t>
  </si>
  <si>
    <r>
      <t xml:space="preserve">N/A is only an acceptable answer if SSO is the </t>
    </r>
    <r>
      <rPr>
        <i/>
        <sz val="11"/>
        <color rgb="FF000000"/>
        <rFont val="Arial"/>
        <family val="2"/>
      </rPr>
      <t>only</t>
    </r>
    <r>
      <rPr>
        <sz val="11"/>
        <color rgb="FF000000"/>
        <rFont val="Arial"/>
        <family val="2"/>
      </rPr>
      <t xml:space="preserve"> way users are able to log into your product. </t>
    </r>
  </si>
  <si>
    <t>N/A is only an acceptable answer if you are not offering a product or platform.</t>
  </si>
  <si>
    <t>Insert your answer here.</t>
  </si>
  <si>
    <t>Connect with your higher education peers by joining the EDUCAUSE HECVAT Users Community Group</t>
  </si>
  <si>
    <t>Version 4.1.6</t>
  </si>
  <si>
    <t>Edugator</t>
  </si>
  <si>
    <t>Edugator is a web-based (SaaS) platform for computing education. Instructors author programming problems, lessons and timed exams; students write and run code in the browser with automated test-case grading; instructors get a gradebook and analytics. Integrates with Canvas via LTI 1.3 (launch, roster, grade passback) and includes optional AI features (an AI tutor for students and AI-assisted authoring for instructors) powered by OpenAI.</t>
  </si>
  <si>
    <t>Marc Diaz</t>
  </si>
  <si>
    <t/>
  </si>
  <si>
    <t>marc@edugator.app</t>
  </si>
  <si>
    <t/>
  </si>
  <si>
    <t>United States</t>
  </si>
  <si>
    <t>Small in-house engineering team responsible for development, operations and support.</t>
  </si>
  <si>
    <t>CONFIRM: [Describe legal entity, ownership, any parent/subsidiary relationships.] Edugator has no offshore operations; all staff and systems are in the United States.</t>
  </si>
  <si>
    <t>Security is handled by the engineering team; there is no dedicated security staff or office.</t>
  </si>
  <si>
    <t>Edugator runs on AWS (us-east-1): containers on Amazon ECS behind an Application Load Balancer with TLS 1.2/1.3, Amazon RDS PostgreSQL, Amazon S3 (SSE-AES256) for assets, DynamoDB for caches, SSM Parameter Store for secrets. The frontend is a static Next.js site on S3/CloudFront. Authentication is delegated to Clerk (email/password and SAML SSO) and LTI 1.3 from Canvas. Infrastructure is managed as code with Terraform; deployments run through GitHub Actions with OIDC-based AWS roles after automated tests pass. Application code uses parameterized SQL (sqlc) and role-based authorization (instructor / TA / student / platform admin).</t>
  </si>
  <si>
    <t>AI tutor chat and AI-assisted authoring powered by OpenAI. See AI tab.</t>
  </si>
  <si>
    <t>Optional student access fees are paid through Stripe-hosted Checkout. Card data is entered on Stripe's pages and never reaches Edugator systems.</t>
  </si>
  <si>
    <t/>
  </si>
  <si>
    <t>No SOC 2 audit has been performed. Hosting provider (AWS) is SOC 2 Type 2.</t>
  </si>
  <si>
    <t/>
  </si>
  <si>
    <t>Architecture and data-flow descriptions can be provided on request.</t>
  </si>
  <si>
    <t>https://edugator.app/privacypolicy and FERPA Addendum https://edugator.app/ferpa</t>
  </si>
  <si>
    <t/>
  </si>
  <si>
    <t/>
  </si>
  <si>
    <t>CONFIRM each agreement is executed. Amazon Web Services - hosting (ECS, RDS PostgreSQL, S3, DynamoDB cache), transactional email (SES), secrets (SSM); Clerk - authentication and user directory (names, emails, credentials); OpenAI - AI tutor and authoring features (student code, questions, problem text; no names/emails sent); Stripe - payment processing (email, internal account/invitation IDs; no card data reaches Edugator); PostHog - product analytics and feature flags (user ID, name, email, usage events); Sentry - error monitoring for the backend (request diagnostics); Instructure Canvas - LTI 1.3 roster sync and grade passback at the institution's direction.</t>
  </si>
  <si>
    <t>Third-party liability is governed by each provider's standard terms; no negotiated breach-liability clauses.</t>
  </si>
  <si>
    <t/>
  </si>
  <si>
    <t>Institutions will be notified of major changes affecting their security posture.</t>
  </si>
  <si>
    <t>Course- and organization-level settings persist across releases (multi-tenant SaaS, single code line).</t>
  </si>
  <si>
    <t>Infrastructure defined in Terraform; container images built reproducibly in CI; hosts use AWS ECS-optimized Amazon Linux AMIs with IMDSv2 required.</t>
  </si>
  <si>
    <t>No formal dependency support review per change.</t>
  </si>
  <si>
    <t/>
  </si>
  <si>
    <t/>
  </si>
  <si>
    <t>Single multi-tenant SaaS version; all customers receive updates.</t>
  </si>
  <si>
    <t>Edugator is SaaS with a single supported version used by 100% of customers.</t>
  </si>
  <si>
    <t>CONFIRM: no published two-year roadmap.</t>
  </si>
  <si>
    <t>Updates are deployed centrally with no institutional involvement.</t>
  </si>
  <si>
    <t>Rolling container deployments on ECS avoid downtime.</t>
  </si>
  <si>
    <t/>
  </si>
  <si>
    <t/>
  </si>
  <si>
    <t/>
  </si>
  <si>
    <t>United States.</t>
  </si>
  <si>
    <t>TLS 1.2/1.3 in transit; AES-256 server-side encryption for S3 objects.</t>
  </si>
  <si>
    <t/>
  </si>
  <si>
    <t>CONFIRM.</t>
  </si>
  <si>
    <t/>
  </si>
  <si>
    <t/>
  </si>
  <si>
    <t>Fully remote team with all systems hosted by AWS; physical security of infrastructure is provided by AWS.</t>
  </si>
  <si>
    <t/>
  </si>
  <si>
    <t>Email and password accounts managed by Clerk, with email verification.</t>
  </si>
  <si>
    <t>Password policy (minimum length, breached-password detection) is configured in Clerk. CONFIRM institution-specific rules can be applied.</t>
  </si>
  <si>
    <t>Clerk enforces 8-72 character passwords.</t>
  </si>
  <si>
    <t>Self-service reset via emailed verification code (Clerk).</t>
  </si>
  <si>
    <t/>
  </si>
  <si>
    <t>Application logs (JSON) are written to Amazon CloudWatch with request ID, method, path and authenticated user ID. Authentication events and sessions are recorded by Clerk. Infrastructure changes are recorded through Terraform in version control and AWS CloudTrail. There is no dedicated audit log of authorization changes (e.g., role changes) within the application.</t>
  </si>
  <si>
    <t>Application logs are retained 14-30 days in CloudWatch, access-restricted to Edugator AWS administrators, and not directly accessible to institutions.</t>
  </si>
  <si>
    <t>LTI 1.3 (Canvas) and SAML 2.0 via Clerk.</t>
  </si>
  <si>
    <t>No LDAP/SCIM directory integration; rosters sync from Canvas via LTI Names and Roles.</t>
  </si>
  <si>
    <t>SAML 2.0 (via Clerk) and OIDC-based LTI 1.3.</t>
  </si>
  <si>
    <t>Users have an immutable Clerk user ID separate from email. Note: LTI launches match Canvas users to Edugator accounts by email address.</t>
  </si>
  <si>
    <t/>
  </si>
  <si>
    <t>CONFIRM Clerk session lifetime / inactivity timeout settings.</t>
  </si>
  <si>
    <t/>
  </si>
  <si>
    <t>TLS 1.2/1.3 between clients and AWS load balancers/CloudFront. Database connections use TLS (enforced with certificate verification for the legacy service; negotiated for the new service).</t>
  </si>
  <si>
    <t/>
  </si>
  <si>
    <t>Data remains available for export on request for a period agreed with the institution.</t>
  </si>
  <si>
    <t>Backups remain in AWS us-east-1.</t>
  </si>
  <si>
    <t>Handled by AWS within its data centers.</t>
  </si>
  <si>
    <t>Data will be returned and/or deleted on request at contract end.</t>
  </si>
  <si>
    <t>There is no self-service export; Edugator can produce exports on request.</t>
  </si>
  <si>
    <t>Database snapshots plus infrastructure-as-code (Terraform) and versioned container images allow full rebuild.</t>
  </si>
  <si>
    <t/>
  </si>
  <si>
    <t>No physical backups; cloud-only.</t>
  </si>
  <si>
    <t/>
  </si>
  <si>
    <t>Physical media is handled by AWS; Edugator has no documented media handling process.</t>
  </si>
  <si>
    <t>AWS media sanitization follows NIST SP 800-88; Edugator has no process of its own.</t>
  </si>
  <si>
    <t>Engineers with production AWS access can access institutional data for support and operations.</t>
  </si>
  <si>
    <t>Multi-tenant. Data is separated logically by organization and course, with role-based authorization checks on each request (instructor, TA, student, platform admin).</t>
  </si>
  <si>
    <t/>
  </si>
  <si>
    <t>Keys are managed by AWS (KMS-backed SSM SecureString, S3 SSE); no documented key management process.</t>
  </si>
  <si>
    <t>Role-based: platform admin, organization owner, course instructor, teaching assistant, student.</t>
  </si>
  <si>
    <t/>
  </si>
  <si>
    <t>Platform administration, course administration (instructor/TA) and student functions are separate roles.</t>
  </si>
  <si>
    <t/>
  </si>
  <si>
    <t>Unit, integration (containerized PostgreSQL) and end-to-end (Playwright) tests run in CI on every pull request.</t>
  </si>
  <si>
    <t/>
  </si>
  <si>
    <t>Request bodies are validated server-side and return structured error messages.</t>
  </si>
  <si>
    <t/>
  </si>
  <si>
    <t>No formal secure coding standard. Practices in use include parameterized SQL, server-side authorization, and TLS everywhere.</t>
  </si>
  <si>
    <t>Web application only; no mobile app.</t>
  </si>
  <si>
    <t>Amazon Web Services, us-east-1.</t>
  </si>
  <si>
    <t>AWS SOC 2 Type 2 is available via AWS Artifact.</t>
  </si>
  <si>
    <t>All data is stored in the United States (AWS us-east-1).</t>
  </si>
  <si>
    <t>AWS.</t>
  </si>
  <si>
    <t/>
  </si>
  <si>
    <t/>
  </si>
  <si>
    <t>AWS ECS-optimized Amazon Linux 2023 AMIs; IMDSv2 required.</t>
  </si>
  <si>
    <t>AWS-managed keys are used for S3 and SSM encryption.</t>
  </si>
  <si>
    <t>AWS security groups (stateful).</t>
  </si>
  <si>
    <t/>
  </si>
  <si>
    <t>Changes are recorded in AWS CloudTrail and in Terraform version control.</t>
  </si>
  <si>
    <t>None currently</t>
  </si>
  <si>
    <t/>
  </si>
  <si>
    <t/>
  </si>
  <si>
    <t/>
  </si>
  <si>
    <t/>
  </si>
  <si>
    <t>With advance notice and coordination.</t>
  </si>
  <si>
    <t>https://edugator.app/accessibility</t>
  </si>
  <si>
    <t>VPAT 2.5Rev (ACR) for v1.0.140 dated 16 August 2026 is linked from the statement.</t>
  </si>
  <si>
    <t>ACR dated 16 August 2026 (revising 31 March 2026).</t>
  </si>
  <si>
    <t>Edugator partially conforms to WCAG 2.1 AA; exceptions are listed in the ACR.</t>
  </si>
  <si>
    <t>Reports go to support@edugator.app (subject 'Accessibility'), tracked in the product backlog; acknowledgment within 7 business days, response within 15.</t>
  </si>
  <si>
    <t>Accessibility statement and ACR.</t>
  </si>
  <si>
    <t>Evaluation was performed internally (NVDA, axe DevTools, Lighthouse, manual keyboard testing).</t>
  </si>
  <si>
    <t/>
  </si>
  <si>
    <t>WCAG 2.1 Level AA.</t>
  </si>
  <si>
    <t>Keyboard-only use was evaluated; the code editor supports leaving focus with Escape then Tab. See ACR for any exceptions.</t>
  </si>
  <si>
    <t>Not applicable: Edugator does not provide consulting services (REQU-03 = No).</t>
  </si>
  <si>
    <t>Not applicable: Edugator does not process PHI or HIPAA-covered data (REQU-05 = No).</t>
  </si>
  <si>
    <t>Edugator has not completed its own SAQ/AoC. Payments are processed entirely by Stripe (PCI DSS Level 1 Service Provider) via Stripe-hosted Checkout.</t>
  </si>
  <si>
    <t>Stripe.</t>
  </si>
  <si>
    <t>Cardholder data is entered on Stripe-hosted pages and never touches Edugator systems.</t>
  </si>
  <si>
    <t>Card handling is fully outsourced to Stripe; Edugator has not completed a PCI DSS self-assessment (SAQ A).</t>
  </si>
  <si>
    <t>CONFIRM: Level 4 merchant (low volume, Stripe-hosted checkout).</t>
  </si>
  <si>
    <t>Edugator creates a Stripe Checkout session server-side and redirects the student to Stripe's hosted payment page. Stripe authorizes the card and notifies Edugator by a signature-verified webhook, which marks the enrollment as paid. Edugator stores only the Stripe invoice/session reference.</t>
  </si>
  <si>
    <t>Stripe</t>
  </si>
  <si>
    <t>Not applicable: Edugator is SaaS and is not installed by the institution.</t>
  </si>
  <si>
    <t>Card data is handled exclusively by Stripe's PCI DSS Level 1 hosted Checkout; Stripe's AoC is available from Stripe.</t>
  </si>
  <si>
    <t>Not applicable: Edugator is cloud-hosted SaaS; no on-premises appliance (REQU-07 = No).</t>
  </si>
  <si>
    <t>Edugator does not train or run its own ML models.</t>
  </si>
  <si>
    <t>OpenAI GPT-4o and GPT-4o-mini via the OpenAI API (plus Whisper for instructor video transcription).</t>
  </si>
  <si>
    <t>Students: 'Bloom' AI tutor chat on programming problems that receives the student's question, chat history and current code (and, where enabled, the problem statement), and an optional AI-generated solution explanation. Instructors: AI-assisted generation of problem statements, starter code, test cases, tags, and transcripts/summaries of linked lecture videos. All AI calls go server-side to the OpenAI API; no AI provider is called from the browser. Names, emails and student IDs are not included in prompts.</t>
  </si>
  <si>
    <t/>
  </si>
  <si>
    <t>User data is never used to train or fine-tune any model. CONFIRM: OpenAI processes requests under zero data retention. Stored chat history in Edugator can be deleted by the user per problem.</t>
  </si>
  <si>
    <t>User inputs are not used to train or tune models.</t>
  </si>
  <si>
    <t/>
  </si>
  <si>
    <t>System prompts constrain the tutor to the programming problem and instruct it to decline off-topic requests or instructions. Request size is bounded by server limits. There is no separate input filtering or PII redaction.</t>
  </si>
  <si>
    <t>Not applicable: Edugator does not train or operate its own machine-learning models (AIQU-01 = No). AI features use OpenAI's hosted LLM API.</t>
  </si>
  <si>
    <t>The LLM only returns text; it has no tool, plugin, data-access or action privileges.</t>
  </si>
  <si>
    <t>Not applicable: Edugator does not train or fine-tune LLMs; it uses OpenAI's hosted models.</t>
  </si>
  <si>
    <t>The LLM takes no autonomous actions; all output is shown to a human user.</t>
  </si>
  <si>
    <t>No LLM plugins are used.</t>
  </si>
  <si>
    <t/>
  </si>
  <si>
    <t>Education records: enrollments, code submissions, grades, exam accommodations.</t>
  </si>
  <si>
    <t>Service is delivered to US institutions and hosted in the US.</t>
  </si>
  <si>
    <t>e.g., CCPA/CPRA, SOPIPA, NY Ed Law 2-d where applicable.</t>
  </si>
  <si>
    <t>Free-text AI chat messages and code may contain anything a user types.</t>
  </si>
  <si>
    <t>https://edugator.app/privacypolicy</t>
  </si>
  <si>
    <t>Edugator acts as a FERPA 'school official' under its FERPA Addendum (https://edugator.app/ferpa). It does not sell personal information or use student data for advertising, and does not use content to train AI models. AI requests to OpenAI exclude names, emails and student IDs. Subprocessors are listed in the privacy policy.</t>
  </si>
  <si>
    <t>No SOC 2 audit has been completed.</t>
  </si>
  <si>
    <t>CONFIRM: subprocessors operate under their data processing agreements. Amazon Web Services - hosting (ECS, RDS PostgreSQL, S3, DynamoDB cache), transactional email (SES), secrets (SSM); Clerk - authentication and user directory (names, emails, credentials); OpenAI - AI tutor and authoring features (student code, questions, problem text; no names/emails sent); Stripe - payment processing (email, internal account/invitation IDs; no card data reaches Edugator); PostHog - product analytics and feature flags (user ID, name, email, usage events); Sentry - error monitoring for the backend (request diagnostics); Instructure Canvas - LTI 1.3 roster sync and grade passback at the institution's direction.</t>
  </si>
  <si>
    <t>Only name, email, role and course activity.</t>
  </si>
  <si>
    <t>CONFIRM PostHog project region is US. All other systems and subprocessors are US-based.</t>
  </si>
  <si>
    <t>IP address and browser/device details for session management (Clerk) and analytics (PostHog).</t>
  </si>
  <si>
    <t>PostHog product analytics (cookies/local storage), including identification of signed-in users by name and email.</t>
  </si>
  <si>
    <t>Engineers with production access, for support and operations.</t>
  </si>
  <si>
    <t>Automated test-case grading computes submission scores; instructors control whether and when grades are published to the LMS.</t>
  </si>
  <si>
    <t>No data is collected, processed or stored in China.</t>
  </si>
  <si>
    <t>Choices are described in the privacy policy; there is no consent banner for analytics cookies.</t>
  </si>
  <si>
    <t>Data categories are documented in the privacy policy.</t>
  </si>
  <si>
    <t/>
  </si>
  <si>
    <t>Profile details are editable in account settings; other requests via legal@edugator.app.</t>
  </si>
  <si>
    <t>Authentication, role-based authorization, TLS in transit and restricted administrative access. An internal review (October 2026) identified gaps that are tracked for remediation.</t>
  </si>
  <si>
    <t/>
  </si>
  <si>
    <t>Student code and questions are processed by OpenAI for the AI tutor.</t>
  </si>
  <si>
    <t>CONFIRM: OpenAI requests are processed under zero data retention. Chat history is stored in Edugator's own database so students can return to conversations.</t>
  </si>
  <si>
    <t>CONFIRM: OpenAI API data processing terms with zero data retention; OpenAI does not train on API data.</t>
  </si>
  <si>
    <t>OpenAI.</t>
  </si>
  <si>
    <t>OpenAI API (commercial enterprise API, not consumer ChatGPT).</t>
  </si>
  <si>
    <t>AI processing uses the OpenAI commercial API under zero data retention, not consumer/shared AI tools.</t>
  </si>
  <si>
    <t/>
  </si>
  <si>
    <t>Instructors can hide the AI tutor in a course; students have no individual opt-out.</t>
  </si>
  <si>
    <t>Instructors can disable AI features at a course or assignment setting level</t>
  </si>
  <si>
    <t>AI can be disabled platform/tenant/course wide by revoking the OpenAI API key or via configuration/deploy.</t>
  </si>
  <si>
    <t>Founder</t>
  </si>
  <si>
    <t>352-281-4587</t>
  </si>
  <si>
    <t>Remote US</t>
  </si>
  <si>
    <t>Student names, emails, code submissions, and AI chat history.</t>
  </si>
  <si>
    <t>BLOOM EDTECH</t>
  </si>
  <si>
    <t>Changes go through CI (lint, unit and integration tests) and tagged releases with changes</t>
  </si>
  <si>
    <t>Testing and validation happen in CI and a beta environment before production releases with manual testing</t>
  </si>
  <si>
    <t/>
  </si>
  <si>
    <t>Edugator operates no hardware of its own; all infrastructure is cloud-hosted on AWS.</t>
  </si>
  <si>
    <t>Production releases ship at most once a week, as tagged GitHub releases that trigger an automated deploy. Releases are avoided during known exam periods.</t>
  </si>
  <si>
    <t>The team currently consists of the co-founders, who were not background-checked. Anyone hired after the founding team will pass a background check before receiving access to systems or data.</t>
  </si>
  <si>
    <t>MFA is enforced for every administrative account: AWS (root and all IAM users), GitHub, Clerk, Stripe, OpenAI, PostHog, Sentry, company email and the domain registrar.</t>
  </si>
  <si>
    <t>Edugator does not currently carry cyber-risk insurance. We plan to obtain combined Technology E&amp;O and cyber liability coverage and will meet any coverage requirements set in the institution's contract.</t>
  </si>
  <si>
    <t>No passwords are hard-coded</t>
  </si>
  <si>
    <t>User passwords are stored only by Clerk (hashed)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</si>
</sst>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6"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i/>
      <sz val="11"/>
      <color rgb="FF000000"/>
      <name val="Arial"/>
      <family val="2"/>
    </font>
    <font>
      <u/>
      <sz val="12"/>
      <color theme="4"/>
      <name val="Verdana"/>
      <family val="2"/>
    </font>
    <font>
      <u/>
      <sz val="12"/>
      <color theme="0" tint="-0.34998626667073579"/>
      <name val="Verdana"/>
      <family val="2"/>
    </font>
    <font>
      <sz val="12"/>
      <color rgb="FFA20000"/>
      <name val="Verdana"/>
      <family val="2"/>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cellStyleXfs>
  <cellXfs count="369">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8"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8"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8"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2" fillId="0" borderId="0" xfId="3" applyFont="1" applyAlignment="1">
      <alignment vertical="center" wrapText="1"/>
    </xf>
    <xf numFmtId="0" fontId="32"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4" fillId="0" borderId="0" xfId="1" applyFont="1"/>
    <xf numFmtId="0" fontId="35" fillId="0" borderId="0" xfId="1" applyFont="1"/>
    <xf numFmtId="0" fontId="35"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7" fillId="13" borderId="0" xfId="1" applyFont="1" applyFill="1" applyAlignment="1">
      <alignment horizontal="center" vertical="center" wrapText="1"/>
    </xf>
    <xf numFmtId="0" fontId="27" fillId="14" borderId="0" xfId="1" applyFont="1" applyFill="1" applyAlignment="1">
      <alignment horizontal="center" vertical="center" wrapText="1"/>
    </xf>
    <xf numFmtId="0" fontId="9" fillId="14" borderId="0" xfId="1" applyFont="1" applyFill="1" applyAlignment="1">
      <alignment horizontal="center" vertical="center" wrapText="1"/>
    </xf>
    <xf numFmtId="0" fontId="36" fillId="0" borderId="0" xfId="0" applyFont="1" applyBorder="1">
      <alignment vertical="top" wrapText="1"/>
    </xf>
    <xf numFmtId="0" fontId="27"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7" fillId="3" borderId="5" xfId="2" applyNumberFormat="1" applyFont="1" applyFill="1" applyBorder="1" applyAlignment="1">
      <alignment horizontal="center" vertical="center"/>
    </xf>
    <xf numFmtId="0" fontId="33"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7" fillId="15" borderId="0" xfId="1" applyFont="1" applyFill="1" applyAlignment="1">
      <alignment horizontal="center" vertical="center" wrapText="1"/>
    </xf>
    <xf numFmtId="0" fontId="38" fillId="0" borderId="11" xfId="0" applyFont="1" applyFill="1" applyBorder="1">
      <alignment vertical="top" wrapText="1"/>
    </xf>
    <xf numFmtId="0" fontId="38" fillId="0" borderId="27" xfId="0" applyFont="1" applyBorder="1">
      <alignment vertical="top" wrapText="1"/>
    </xf>
    <xf numFmtId="0" fontId="38"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40"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8"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9" fillId="18" borderId="0" xfId="0" applyNumberFormat="1" applyFont="1" applyFill="1" applyBorder="1" applyAlignment="1">
      <alignment vertical="center"/>
    </xf>
    <xf numFmtId="0" fontId="29" fillId="18" borderId="0" xfId="3" applyNumberFormat="1" applyFont="1" applyFill="1" applyBorder="1" applyAlignment="1">
      <alignment horizontal="left" vertical="center"/>
    </xf>
    <xf numFmtId="0" fontId="30" fillId="18" borderId="0" xfId="3" applyNumberFormat="1" applyFont="1" applyFill="1" applyBorder="1" applyAlignment="1">
      <alignment horizontal="center" vertical="center" wrapText="1"/>
    </xf>
    <xf numFmtId="0" fontId="42" fillId="0" borderId="0" xfId="3" applyFont="1">
      <alignment vertical="top" wrapText="1"/>
    </xf>
    <xf numFmtId="0" fontId="29" fillId="18" borderId="0" xfId="0" applyNumberFormat="1" applyFont="1" applyFill="1" applyBorder="1" applyAlignment="1">
      <alignment horizontal="center" vertical="center"/>
    </xf>
    <xf numFmtId="0" fontId="42" fillId="0" borderId="0" xfId="0" applyFont="1">
      <alignment vertical="top" wrapText="1"/>
    </xf>
    <xf numFmtId="0" fontId="29"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8" fillId="16" borderId="3" xfId="0" applyFont="1" applyFill="1" applyBorder="1" applyAlignment="1">
      <alignment horizontal="center" vertical="center" wrapText="1"/>
    </xf>
    <xf numFmtId="0" fontId="43"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3" fillId="21" borderId="11" xfId="0"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3" fillId="21" borderId="22" xfId="0" applyFont="1" applyFill="1" applyBorder="1" applyAlignment="1">
      <alignment horizontal="center" vertical="center" wrapText="1"/>
    </xf>
    <xf numFmtId="0" fontId="22" fillId="22" borderId="8" xfId="0" applyFont="1" applyFill="1" applyBorder="1">
      <alignment vertical="top" wrapText="1"/>
    </xf>
    <xf numFmtId="0" fontId="43" fillId="21" borderId="32" xfId="0" applyFont="1" applyFill="1" applyBorder="1" applyAlignment="1">
      <alignment horizontal="center" vertical="center" wrapText="1"/>
    </xf>
    <xf numFmtId="0" fontId="43"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6" fillId="3" borderId="34" xfId="0" applyNumberFormat="1" applyFont="1" applyFill="1" applyBorder="1" applyAlignment="1">
      <alignment horizontal="center" vertical="center"/>
    </xf>
    <xf numFmtId="0" fontId="47"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3"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7"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4" fillId="4" borderId="0" xfId="1" applyFont="1" applyFill="1"/>
    <xf numFmtId="0" fontId="19" fillId="3" borderId="5" xfId="3" applyNumberFormat="1" applyFont="1" applyFill="1" applyBorder="1" applyAlignment="1">
      <alignment vertical="center"/>
    </xf>
    <xf numFmtId="0" fontId="30" fillId="2" borderId="0" xfId="2" applyNumberFormat="1" applyFont="1" applyFill="1" applyBorder="1" applyAlignment="1">
      <alignment vertical="center"/>
    </xf>
    <xf numFmtId="0" fontId="24" fillId="0" borderId="0" xfId="3" applyFont="1">
      <alignment vertical="top" wrapText="1"/>
    </xf>
    <xf numFmtId="0" fontId="33"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3" fillId="0" borderId="0" xfId="0" applyFont="1" applyAlignment="1">
      <alignment shrinkToFit="1"/>
    </xf>
    <xf numFmtId="0" fontId="1" fillId="0" borderId="0" xfId="0" applyFont="1" applyBorder="1" applyAlignment="1">
      <alignment vertical="top" shrinkToFit="1"/>
    </xf>
    <xf numFmtId="0" fontId="50" fillId="0" borderId="0" xfId="1" applyFont="1" applyAlignment="1">
      <alignment shrinkToFit="1"/>
    </xf>
    <xf numFmtId="0" fontId="50" fillId="0" borderId="0" xfId="1" applyFont="1" applyAlignment="1">
      <alignment vertical="top" shrinkToFit="1"/>
    </xf>
    <xf numFmtId="0" fontId="51" fillId="0" borderId="0" xfId="0" applyFont="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2" fillId="0" borderId="0" xfId="0" applyNumberFormat="1" applyFont="1" applyAlignment="1"/>
    <xf numFmtId="0" fontId="53" fillId="0" borderId="0" xfId="0" applyNumberFormat="1" applyFont="1" applyAlignment="1"/>
    <xf numFmtId="0" fontId="14" fillId="4" borderId="0" xfId="3"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8" fillId="0" borderId="0" xfId="0" applyFont="1" applyFill="1" applyBorder="1" applyAlignment="1">
      <alignment vertical="center" wrapText="1"/>
    </xf>
    <xf numFmtId="1" fontId="40" fillId="0" borderId="0" xfId="0" applyNumberFormat="1" applyFont="1" applyFill="1" applyBorder="1" applyAlignment="1">
      <alignment vertical="center" wrapText="1"/>
    </xf>
    <xf numFmtId="0" fontId="22" fillId="0" borderId="0" xfId="0" applyFont="1" applyFill="1" applyBorder="1">
      <alignment vertical="top" wrapText="1"/>
    </xf>
    <xf numFmtId="0" fontId="33"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4"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5"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8" fillId="0" borderId="1" xfId="0" applyNumberFormat="1" applyFont="1" applyFill="1" applyBorder="1" applyAlignment="1">
      <alignment vertical="center" wrapText="1"/>
    </xf>
    <xf numFmtId="0" fontId="28" fillId="0" borderId="2" xfId="0" applyNumberFormat="1" applyFont="1" applyFill="1" applyBorder="1" applyAlignment="1">
      <alignment vertical="center" wrapText="1"/>
    </xf>
    <xf numFmtId="0" fontId="28"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20" fillId="3" borderId="5" xfId="0" applyNumberFormat="1" applyFont="1" applyFill="1" applyBorder="1" applyAlignment="1">
      <alignment horizontal="left" vertical="center"/>
    </xf>
    <xf numFmtId="0" fontId="56" fillId="0" borderId="3" xfId="0" applyFont="1" applyBorder="1" applyAlignment="1">
      <alignment horizontal="left" vertical="center" wrapText="1"/>
    </xf>
    <xf numFmtId="0" fontId="57" fillId="3" borderId="5" xfId="0" applyNumberFormat="1" applyFont="1" applyFill="1" applyBorder="1" applyAlignment="1">
      <alignment horizontal="left" vertical="center"/>
    </xf>
    <xf numFmtId="0" fontId="56" fillId="0" borderId="2" xfId="0" applyFont="1" applyBorder="1" applyAlignment="1">
      <alignment horizontal="left" vertical="center" wrapText="1"/>
    </xf>
    <xf numFmtId="0" fontId="56" fillId="0" borderId="1" xfId="0" applyFont="1" applyBorder="1" applyAlignment="1">
      <alignment horizontal="left" vertical="center" wrapText="1"/>
    </xf>
    <xf numFmtId="0" fontId="58" fillId="3" borderId="5" xfId="2" applyNumberFormat="1" applyFont="1" applyFill="1" applyBorder="1" applyAlignment="1">
      <alignment horizontal="left" vertical="center"/>
    </xf>
    <xf numFmtId="0" fontId="46"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0"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6" fillId="0" borderId="3" xfId="0" applyFont="1" applyBorder="1">
      <alignment vertical="top" wrapText="1"/>
    </xf>
    <xf numFmtId="0" fontId="36" fillId="0" borderId="3" xfId="0" applyFont="1" applyBorder="1" applyAlignment="1">
      <alignment horizontal="right" vertical="top" wrapText="1"/>
    </xf>
    <xf numFmtId="0" fontId="59" fillId="0" borderId="3" xfId="0" applyFont="1" applyBorder="1">
      <alignment vertical="top" wrapText="1"/>
    </xf>
    <xf numFmtId="0" fontId="36" fillId="0" borderId="3" xfId="0" applyFont="1" applyBorder="1" applyAlignment="1">
      <alignment vertical="center"/>
    </xf>
    <xf numFmtId="0" fontId="36" fillId="0" borderId="3" xfId="0" applyFont="1" applyBorder="1" applyAlignment="1">
      <alignment wrapText="1"/>
    </xf>
    <xf numFmtId="0" fontId="59" fillId="0" borderId="3" xfId="0" applyFont="1" applyBorder="1" applyAlignment="1">
      <alignment wrapText="1"/>
    </xf>
    <xf numFmtId="0" fontId="60"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1"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6" fillId="26" borderId="3" xfId="0" applyFont="1" applyFill="1" applyBorder="1">
      <alignment vertical="top" wrapText="1"/>
    </xf>
    <xf numFmtId="0" fontId="53" fillId="0" borderId="2" xfId="0" applyNumberFormat="1" applyFont="1" applyFill="1" applyBorder="1" applyAlignment="1">
      <alignment vertical="center" wrapText="1"/>
    </xf>
    <xf numFmtId="0" fontId="21" fillId="10" borderId="1" xfId="0" applyNumberFormat="1" applyFont="1" applyFill="1" applyBorder="1" applyAlignment="1">
      <alignment horizontal="center" vertical="center" wrapText="1"/>
    </xf>
    <xf numFmtId="0" fontId="53"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xf>
    <xf numFmtId="0" fontId="63" fillId="4" borderId="0" xfId="2" applyNumberFormat="1" applyFont="1" applyFill="1" applyBorder="1" applyAlignment="1">
      <alignment vertical="center"/>
    </xf>
    <xf numFmtId="0" fontId="64" fillId="3" borderId="5" xfId="2" applyNumberFormat="1" applyFont="1" applyFill="1" applyBorder="1" applyAlignment="1">
      <alignment horizontal="center" vertical="center"/>
    </xf>
    <xf numFmtId="0" fontId="65" fillId="0" borderId="4" xfId="0" applyFont="1" applyBorder="1" applyAlignment="1">
      <alignment horizontal="left" vertical="center"/>
    </xf>
    <xf numFmtId="0" fontId="63" fillId="2" borderId="9" xfId="2" applyNumberFormat="1" applyFont="1" applyFill="1" applyBorder="1" applyAlignment="1">
      <alignment vertical="center"/>
    </xf>
    <xf numFmtId="0" fontId="63" fillId="2" borderId="0" xfId="2" applyNumberFormat="1" applyFont="1" applyFill="1" applyBorder="1" applyAlignment="1">
      <alignment vertical="center"/>
    </xf>
    <xf numFmtId="0" fontId="63" fillId="4" borderId="0" xfId="2" applyNumberFormat="1" applyFont="1" applyFill="1" applyBorder="1" applyAlignment="1" applyProtection="1">
      <alignment vertical="center"/>
    </xf>
    <xf numFmtId="0" fontId="63" fillId="4" borderId="0" xfId="2" applyNumberFormat="1" applyFont="1" applyFill="1" applyBorder="1" applyAlignment="1">
      <alignment horizontal="left" vertical="center"/>
    </xf>
    <xf numFmtId="0" fontId="33" fillId="10" borderId="0" xfId="0" applyNumberFormat="1" applyFont="1" applyFill="1" applyAlignment="1">
      <alignment shrinkToFit="1"/>
    </xf>
    <xf numFmtId="0" fontId="32"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7" zoomScale="80" zoomScaleNormal="80" workbookViewId="0">
      <selection activeCell="D20" sqref="D20"/>
    </sheetView>
  </sheetViews>
  <sheetFormatPr baseColWidth="10" defaultColWidth="0" defaultRowHeight="0" customHeight="1" zeroHeight="1" x14ac:dyDescent="0.15"/>
  <cols>
    <col min="1" max="1" width="8.25" customWidth="1"/>
    <col min="2" max="2" width="55.125" style="1" customWidth="1"/>
    <col min="3" max="3" width="21.25" style="8" customWidth="1"/>
    <col min="4" max="4" width="55.625" style="9" customWidth="1"/>
    <col min="5" max="5" width="32" style="10" customWidth="1"/>
    <col min="6" max="6" width="30.625" style="1" customWidth="1"/>
    <col min="7" max="7" width="18.125" style="1" customWidth="1"/>
    <col min="8" max="8" width="16.625" style="1" hidden="1" customWidth="1"/>
    <col min="9" max="9" width="18.125" style="35" hidden="1" customWidth="1"/>
    <col min="10" max="10" width="18.125" style="1" hidden="1" customWidth="1"/>
    <col min="11" max="11" width="4.5" style="1" hidden="1" customWidth="1"/>
    <col min="12" max="12" width="6.625" style="1" hidden="1" customWidth="1"/>
    <col min="13" max="16384" width="6.625" hidden="1"/>
  </cols>
  <sheetData>
    <row r="1" spans="1:9" ht="0" hidden="1" customHeight="1" x14ac:dyDescent="0.15">
      <c r="A1" t="s">
        <v>1447</v>
      </c>
    </row>
    <row r="2" spans="1:9" ht="36" customHeight="1" x14ac:dyDescent="0.15">
      <c r="A2" s="268" t="s">
        <v>1514</v>
      </c>
      <c r="B2" s="268"/>
      <c r="C2" s="269"/>
      <c r="D2" s="316"/>
      <c r="E2" s="270"/>
      <c r="F2" s="270" t="str">
        <f>'Auto Responses'!$A$36</f>
      </c>
    </row>
    <row r="3" spans="1:9" s="1" customFormat="1" ht="29.25" customHeight="1" x14ac:dyDescent="0.15">
      <c r="A3" s="271" t="s">
        <v>940</v>
      </c>
      <c r="B3" s="272"/>
      <c r="C3" s="332">
        <v>46317</v>
      </c>
      <c r="D3" s="317"/>
      <c r="E3" s="273"/>
      <c r="F3" s="274"/>
      <c r="I3" s="35"/>
    </row>
    <row r="4" spans="1:9" s="1" customFormat="1" ht="36" customHeight="1" x14ac:dyDescent="0.15">
      <c r="A4" s="275" t="s">
        <v>865</v>
      </c>
      <c r="B4" s="276"/>
      <c r="C4" s="277"/>
      <c r="D4" s="278"/>
      <c r="E4" s="279"/>
      <c r="F4" s="279"/>
      <c r="I4" s="35"/>
    </row>
    <row r="5" spans="1:9" s="1" customFormat="1" ht="19.5" customHeight="1" x14ac:dyDescent="0.15">
      <c r="A5" s="280" t="str">
        <f>HLOOKUP($A$4,'Auto Responses'!$D$2:$D$8,2,0)&amp;""</f>
      </c>
      <c r="B5" s="281"/>
      <c r="C5" s="282"/>
      <c r="D5" s="318"/>
      <c r="E5" s="281"/>
      <c r="F5" s="283"/>
      <c r="I5" s="35"/>
    </row>
    <row r="6" spans="1:9" s="1" customFormat="1" ht="19.5" customHeight="1" x14ac:dyDescent="0.15">
      <c r="A6" s="280" t="str">
        <f>HLOOKUP($A$4,'Auto Responses'!$D$2:$D$8,3,0)&amp;""</f>
      </c>
      <c r="B6" s="281"/>
      <c r="C6" s="282"/>
      <c r="D6" s="318"/>
      <c r="E6" s="281"/>
      <c r="F6" s="284"/>
      <c r="I6" s="35"/>
    </row>
    <row r="7" spans="1:9" s="1" customFormat="1" ht="19.5" customHeight="1" x14ac:dyDescent="0.15">
      <c r="A7" s="280" t="str">
        <f>HLOOKUP($A$4,'Auto Responses'!$D$2:$D$8,4,0)&amp;""</f>
        <v xml:space="preserve">3. Guidance in column E may change based on your answers to prompt details in "Additional Information." If leaving an answer blank, you must also state why in "Additional Information". </v>
      </c>
      <c r="B7" s="281"/>
      <c r="C7" s="282"/>
      <c r="D7" s="318"/>
      <c r="E7" s="281"/>
      <c r="F7" s="284"/>
      <c r="I7" s="35"/>
    </row>
    <row r="8" spans="1:9" s="1" customFormat="1" ht="19.5" customHeight="1" x14ac:dyDescent="0.15">
      <c r="A8" s="280" t="str">
        <f>HLOOKUP($A$4,'Auto Responses'!$D$2:$D$8,5,0)&amp;""</f>
      </c>
      <c r="B8" s="281"/>
      <c r="C8" s="282"/>
      <c r="D8" s="318"/>
      <c r="E8" s="281"/>
      <c r="F8" s="284"/>
      <c r="I8" s="35"/>
    </row>
    <row r="9" spans="1:9" s="1" customFormat="1" ht="19.5" customHeight="1" x14ac:dyDescent="0.15">
      <c r="A9" s="280" t="str">
        <f>HLOOKUP($A$4,'Auto Responses'!$D$2:$D$8,6,0)&amp;""</f>
      </c>
      <c r="B9" s="281"/>
      <c r="C9" s="282"/>
      <c r="D9" s="318"/>
      <c r="E9" s="281"/>
      <c r="F9" s="284"/>
      <c r="I9" s="35"/>
    </row>
    <row r="10" spans="1:9" s="1" customFormat="1" ht="19.5" customHeight="1" x14ac:dyDescent="0.15">
      <c r="A10" s="285" t="str">
        <f>HLOOKUP($A$4,'Auto Responses'!$D$2:$D$8,7,0)&amp;""</f>
      </c>
      <c r="B10" s="281"/>
      <c r="C10" s="282"/>
      <c r="D10" s="318"/>
      <c r="E10" s="281"/>
      <c r="F10" s="284"/>
      <c r="I10" s="35"/>
    </row>
    <row r="11" spans="1:9" s="1" customFormat="1" ht="19.5" customHeight="1" x14ac:dyDescent="0.15">
      <c r="A11" s="365" t="str">
        <f>HLOOKUP($A$4,'Auto Responses'!$D$2:$D$9,8,0)&amp;""</f>
      </c>
      <c r="B11" s="281"/>
      <c r="C11" s="282"/>
      <c r="D11" s="318"/>
      <c r="E11" s="281"/>
      <c r="F11" s="286"/>
      <c r="I11" s="35"/>
    </row>
    <row r="12" spans="1:9" s="1" customFormat="1" ht="36" customHeight="1" x14ac:dyDescent="0.15">
      <c r="A12" s="287" t="str">
        <f>VLOOKUP(LEFT($A13,4),'Auto Responses'!$N$4:$O$38,2,0)&amp;""</f>
        <v xml:space="preserve"> General Information</v>
      </c>
      <c r="B12" s="276"/>
      <c r="C12" s="288"/>
      <c r="D12" s="319"/>
      <c r="E12" s="289"/>
      <c r="F12" s="289"/>
      <c r="I12" s="35"/>
    </row>
    <row r="13" spans="1:9" s="1" customFormat="1" ht="22.5" customHeight="1" x14ac:dyDescent="0.15">
      <c r="A13" s="19" t="s">
        <v>21</v>
      </c>
      <c r="B13" s="20">
        <f>VLOOKUP($A13,Questions!$A$2:$X$333,2,0)&amp;""</f>
      </c>
      <c r="C13" s="75" t="s">
        <v>2086</v>
      </c>
      <c r="D13" s="32"/>
      <c r="E13" s="32"/>
      <c r="F13" s="50"/>
      <c r="I13" s="35"/>
    </row>
    <row r="14" spans="1:9" s="1" customFormat="1" ht="22.5" customHeight="1" x14ac:dyDescent="0.15">
      <c r="A14" s="19" t="s">
        <v>24</v>
      </c>
      <c r="B14" s="20">
        <f>VLOOKUP($A14,Questions!$A$2:$X$333,2,0)&amp;""</f>
      </c>
      <c r="C14" s="75" t="s">
        <v>1912</v>
      </c>
      <c r="D14" s="32"/>
      <c r="E14" s="33"/>
      <c r="F14" s="50"/>
      <c r="I14" s="35"/>
    </row>
    <row r="15" spans="1:9" s="1" customFormat="1" ht="22.5" customHeight="1" x14ac:dyDescent="0.15">
      <c r="A15" s="19" t="s">
        <v>25</v>
      </c>
      <c r="B15" s="20">
        <f>VLOOKUP($A15,Questions!$A$2:$X$333,2,0)&amp;""</f>
      </c>
      <c r="C15" s="75" t="s">
        <v>1913</v>
      </c>
      <c r="D15" s="32"/>
      <c r="E15" s="33"/>
      <c r="F15" s="50"/>
      <c r="I15" s="35"/>
    </row>
    <row r="16" spans="1:9" s="1" customFormat="1" ht="22.5" customHeight="1" x14ac:dyDescent="0.15">
      <c r="A16" s="19" t="s">
        <v>26</v>
      </c>
      <c r="B16" s="20">
        <f>VLOOKUP($A16,Questions!$A$2:$X$333,2,0)&amp;""</f>
      </c>
      <c r="C16" s="75" t="s">
        <v>1914</v>
      </c>
      <c r="D16" s="32"/>
      <c r="E16" s="33"/>
      <c r="F16" s="50"/>
      <c r="I16" s="35"/>
    </row>
    <row r="17" spans="1:9" s="1" customFormat="1" ht="22.5" customHeight="1" x14ac:dyDescent="0.15">
      <c r="A17" s="19" t="s">
        <v>27</v>
      </c>
      <c r="B17" s="20">
        <f>VLOOKUP($A17,Questions!$A$2:$X$333,2,0)&amp;""</f>
      </c>
      <c r="C17" s="75" t="s">
        <v>2082</v>
      </c>
      <c r="D17" s="9"/>
      <c r="E17" s="33"/>
      <c r="F17" s="50"/>
      <c r="I17" s="35"/>
    </row>
    <row r="18" spans="1:9" s="1" customFormat="1" ht="22.5" customHeight="1" x14ac:dyDescent="0.15">
      <c r="A18" s="19" t="s">
        <v>28</v>
      </c>
      <c r="B18" s="20">
        <f>VLOOKUP($A18,Questions!$A$2:$X$333,2,0)&amp;""</f>
      </c>
      <c r="C18" s="75" t="s">
        <v>1916</v>
      </c>
      <c r="D18" s="32"/>
      <c r="E18" s="33"/>
      <c r="F18" s="50"/>
      <c r="I18" s="35"/>
    </row>
    <row r="19" spans="1:9" s="1" customFormat="1" ht="22.5" customHeight="1" x14ac:dyDescent="0.15">
      <c r="A19" s="19" t="s">
        <v>29</v>
      </c>
      <c r="B19" s="20">
        <f>VLOOKUP($A19,Questions!$A$2:$X$333,2,0)&amp;""</f>
      </c>
      <c r="C19" s="75" t="s">
        <v>2083</v>
      </c>
      <c r="D19" s="32"/>
      <c r="E19" s="33"/>
      <c r="F19" s="50"/>
      <c r="I19" s="35"/>
    </row>
    <row r="20" spans="1:9" s="1" customFormat="1" ht="22.5" customHeight="1" x14ac:dyDescent="0.15">
      <c r="A20" s="19" t="s">
        <v>30</v>
      </c>
      <c r="B20" s="20">
        <f>VLOOKUP($A20,Questions!$A$2:$X$333,2,0)&amp;""</f>
      </c>
      <c r="C20" s="75" t="s">
        <v>1918</v>
      </c>
      <c r="D20" s="32"/>
      <c r="E20" s="33"/>
      <c r="F20" s="50"/>
      <c r="I20" s="35"/>
    </row>
    <row r="21" spans="1:9" s="1" customFormat="1" ht="22.5" customHeight="1" x14ac:dyDescent="0.15">
      <c r="A21" s="19" t="s">
        <v>32</v>
      </c>
      <c r="B21" s="20">
        <f>VLOOKUP($A21,Questions!$A$2:$X$333,2,0)&amp;""</f>
      </c>
      <c r="C21" s="75" t="s">
        <v>2084</v>
      </c>
      <c r="D21" s="32"/>
      <c r="E21" s="33"/>
      <c r="F21" s="50"/>
      <c r="I21" s="35"/>
    </row>
    <row r="22" spans="1:9" s="1" customFormat="1" ht="37.5" customHeight="1" thickBot="1" x14ac:dyDescent="0.2">
      <c r="A22" s="63" t="str">
        <f>VLOOKUP(LEFT($A23,4),'Auto Responses'!$N$4:$O$38,2,0)&amp;""</f>
        <v xml:space="preserve"> Company Information</v>
      </c>
      <c r="B22" s="22"/>
      <c r="C22" s="13" t="s">
        <v>1495</v>
      </c>
      <c r="D22" s="13" t="s">
        <v>72</v>
      </c>
      <c r="E22" s="31" t="s">
        <v>848</v>
      </c>
      <c r="F22" s="199" t="s">
        <v>849</v>
      </c>
      <c r="I22" s="35"/>
    </row>
    <row r="23" spans="1:9" s="1" customFormat="1" ht="55.5" customHeight="1" x14ac:dyDescent="0.15">
      <c r="A23" s="19" t="s">
        <v>35</v>
      </c>
      <c r="B23" s="18">
        <f>VLOOKUP($A23,Questions!$A$2:$X$333,2,0)&amp;""</f>
      </c>
      <c r="C23" s="21" t="s">
        <v>40</v>
      </c>
      <c r="D23" s="307" t="s">
        <v>1919</v>
      </c>
      <c r="E23" s="166">
        <f>IF($C23='Auto Responses'!$J$3,VLOOKUP($A23,Questions!$A$2:$X$333,17,0)&amp;"",IF($C23='Auto Responses'!$J$4,VLOOKUP($A23,Questions!$A$2:$X$333,16,0)&amp;"",IF($C23='Auto Responses'!$J$5,VLOOKUP($A23,Questions!$A$2:$X$333,18,0)&amp;"",VLOOKUP($A23,Questions!$A$2:$X$333,15,0)&amp;"")))</f>
      </c>
      <c r="F23" s="200">
        <f>VLOOKUP($A23,'Institution Evaluation'!$A$56:$F$345,6,0)&amp;""</f>
      </c>
      <c r="I23" s="35"/>
    </row>
    <row r="24" spans="1:9" s="1" customFormat="1" ht="105" x14ac:dyDescent="0.15">
      <c r="A24" s="19" t="s">
        <v>42</v>
      </c>
      <c r="B24" s="18">
        <f>VLOOKUP($A24,Questions!$A$2:$X$333,2,0)&amp;""</f>
      </c>
      <c r="C24" s="330" t="s">
        <v>1920</v>
      </c>
      <c r="D24" s="356"/>
      <c r="E24" s="166" t="str">
        <f>IF($C24='Auto Responses'!$J$3,VLOOKUP($A24,Questions!$A$2:$X$333,17,0)&amp;"",IF($C24='Auto Responses'!$J$4,VLOOKUP($A24,Questions!$A$2:$X$333,16,0)&amp;"",VLOOKUP($A24,Questions!$A$2:$X$333,15,0)&amp;""))</f>
      </c>
      <c r="F24" s="200">
        <f>VLOOKUP($A24,'Institution Evaluation'!$A$56:$F$345,6,0)&amp;""</f>
      </c>
      <c r="I24" s="35"/>
    </row>
    <row r="25" spans="1:9" s="1" customFormat="1" ht="39.75" customHeight="1" x14ac:dyDescent="0.15">
      <c r="A25" s="19" t="s">
        <v>44</v>
      </c>
      <c r="B25" s="18">
        <f>VLOOKUP($A25,Questions!$A$2:$X$333,2,0)&amp;""</f>
      </c>
      <c r="C25" s="21" t="inlineStr">
        <is>
          <t xml:space="preserve">Yes</t>
        </is>
      </c>
      <c r="D25" s="307" t="inlineStr">
        <is>
          <t xml:space="preserve">No unplanned disruptions to the solution in the past 12 months.</t>
        </is>
      </c>
      <c r="E25" s="166">
        <f>IF($C25='Auto Responses'!$J$3,VLOOKUP($A25,Questions!$A$2:$X$333,17,0)&amp;"",IF($C25='Auto Responses'!$J$4,VLOOKUP($A25,Questions!$A$2:$X$333,16,0)&amp;"",VLOOKUP($A25,Questions!$A$2:$X$333,15,0)&amp;""))</f>
      </c>
      <c r="F25" s="200">
        <f>VLOOKUP($A25,'Institution Evaluation'!$A$56:$F$345,6,0)&amp;""</f>
      </c>
      <c r="I25" s="35"/>
    </row>
    <row r="26" spans="1:9" s="1" customFormat="1" ht="49.5" customHeight="1" x14ac:dyDescent="0.15">
      <c r="A26" s="19" t="s">
        <v>45</v>
      </c>
      <c r="B26" s="18">
        <f>VLOOKUP($A26,Questions!$A$2:$X$333,2,0)&amp;""</f>
      </c>
      <c r="C26" s="21" t="s">
        <v>148</v>
      </c>
      <c r="D26" s="307" t="s">
        <v>1921</v>
      </c>
      <c r="E26" s="166">
        <f>IF($C26='Auto Responses'!$J$3,VLOOKUP($A26,Questions!$A$2:$X$333,17,0)&amp;"",IF($C26='Auto Responses'!$J$4,VLOOKUP($A26,Questions!$A$2:$X$333,16,0)&amp;"",VLOOKUP($A26,Questions!$A$2:$X$333,15,0)&amp;""))</f>
      </c>
      <c r="F26" s="200">
        <f>VLOOKUP($A26,'Institution Evaluation'!$A$56:$F$345,6,0)&amp;""</f>
      </c>
      <c r="I26" s="35"/>
    </row>
    <row r="27" spans="1:9" s="1" customFormat="1" ht="409.6" thickBot="1" x14ac:dyDescent="0.2">
      <c r="A27" s="19" t="s">
        <v>47</v>
      </c>
      <c r="B27" s="18">
        <f>VLOOKUP($A27,Questions!$A$2:$X$333,2,0)&amp;""</f>
      </c>
      <c r="C27" s="329" t="s">
        <v>1922</v>
      </c>
      <c r="D27" s="356"/>
      <c r="E27" s="166" t="str">
        <f>IF($C27='Auto Responses'!$J$3,VLOOKUP($A27,Questions!$A$2:$X$333,17,0)&amp;"",IF($C27='Auto Responses'!$J$4,VLOOKUP($A27,Questions!$A$2:$X$333,16,0)&amp;"",VLOOKUP($A27,Questions!$A$2:$X$333,15,0)&amp;""))</f>
      </c>
      <c r="F27" s="200">
        <f>VLOOKUP($A27,'Institution Evaluation'!$A$56:$F$345,6,0)&amp;""</f>
      </c>
      <c r="G27" s="367" t="s">
        <v>1448</v>
      </c>
      <c r="I27" s="35"/>
    </row>
    <row r="28" spans="1:9" s="1" customFormat="1" ht="37.5" customHeight="1" thickBot="1" x14ac:dyDescent="0.2">
      <c r="A28" s="63" t="str">
        <f>VLOOKUP(LEFT($A29,4),'Auto Responses'!$N$4:$O$38,2,0)&amp;""</f>
        <v xml:space="preserve"> Required Questions</v>
      </c>
      <c r="B28" s="22"/>
      <c r="C28" s="13" t="s">
        <v>1495</v>
      </c>
      <c r="D28" s="13" t="s">
        <v>72</v>
      </c>
      <c r="E28" s="31" t="s">
        <v>848</v>
      </c>
      <c r="F28" s="186" t="s">
        <v>849</v>
      </c>
      <c r="I28" s="35"/>
    </row>
    <row r="29" spans="1:9" s="1" customFormat="1" ht="48" customHeight="1" x14ac:dyDescent="0.15">
      <c r="A29" s="19" t="s">
        <v>48</v>
      </c>
      <c r="B29" s="18">
        <f>VLOOKUP($A29,Questions!$A$2:$X$333,2,0)&amp;""</f>
      </c>
      <c r="C29" s="21" t="s">
        <v>40</v>
      </c>
      <c r="D29" s="39"/>
      <c r="E29" s="166" t="str">
        <f>IF($C29='Auto Responses'!$J$3,VLOOKUP($A29,Questions!$A$2:$X$333,17,0)&amp;"",IF($C29='Auto Responses'!$J$4,VLOOKUP($A29,Questions!$A$2:$X$333,16,0)&amp;"",VLOOKUP($A29,Questions!$A$2:$X$333,15,0)&amp;""))</f>
      </c>
      <c r="F29" s="200">
        <f>VLOOKUP($A29,'Institution Evaluation'!$A$56:$F$345,6,0)&amp;""</f>
      </c>
      <c r="I29" s="35"/>
    </row>
    <row r="30" spans="1:9" s="1" customFormat="1" ht="58.5" customHeight="1" x14ac:dyDescent="0.15">
      <c r="A30" s="19" t="s">
        <v>51</v>
      </c>
      <c r="B30" s="18">
        <f>VLOOKUP($A30,Questions!$A$2:$X$333,2,0)&amp;""</f>
      </c>
      <c r="C30" s="21" t="s">
        <v>40</v>
      </c>
      <c r="D30" s="39"/>
      <c r="E30" s="166" t="str">
        <f>IF($C30='Auto Responses'!$J$3,VLOOKUP($A30,Questions!$A$2:$X$333,17,0)&amp;"",IF($C30='Auto Responses'!$J$4,VLOOKUP($A30,Questions!$A$2:$X$333,16,0)&amp;"",VLOOKUP($A30,Questions!$A$2:$X$333,15,0)&amp;""))</f>
      </c>
      <c r="F30" s="200">
        <f>VLOOKUP($A30,'Institution Evaluation'!$A$56:$F$345,6,0)&amp;""</f>
      </c>
      <c r="I30" s="35"/>
    </row>
    <row r="31" spans="1:9" s="1" customFormat="1" ht="54" customHeight="1" x14ac:dyDescent="0.15">
      <c r="A31" s="19" t="s">
        <v>54</v>
      </c>
      <c r="B31" s="18">
        <f>VLOOKUP($A31,Questions!$A$2:$X$333,2,0)&amp;""</f>
      </c>
      <c r="C31" s="21" t="s">
        <v>148</v>
      </c>
      <c r="D31" s="39"/>
      <c r="E31" s="166" t="str">
        <f>IF($C31='Auto Responses'!$J$3,VLOOKUP($A31,Questions!$A$2:$X$333,17,0)&amp;"",IF($C31='Auto Responses'!$J$4,VLOOKUP($A31,Questions!$A$2:$X$333,16,0)&amp;"",VLOOKUP($A31,Questions!$A$2:$X$333,15,0)&amp;""))</f>
      </c>
      <c r="F31" s="200">
        <f>VLOOKUP($A31,'Institution Evaluation'!$A$56:$F$345,6,0)&amp;""</f>
      </c>
      <c r="I31" s="35"/>
    </row>
    <row r="32" spans="1:9" s="1" customFormat="1" ht="54" customHeight="1" x14ac:dyDescent="0.15">
      <c r="A32" s="19" t="s">
        <v>58</v>
      </c>
      <c r="B32" s="18">
        <f>VLOOKUP($A32,Questions!$A$2:$X$333,2,0)&amp;""</f>
      </c>
      <c r="C32" s="21" t="s">
        <v>40</v>
      </c>
      <c r="D32" s="39" t="s">
        <v>1923</v>
      </c>
      <c r="E32" s="166">
        <f>IF($C32='Auto Responses'!$J$3,VLOOKUP($A32,Questions!$A$2:$X$333,17,0)&amp;"",IF($C32='Auto Responses'!$J$4,VLOOKUP($A32,Questions!$A$2:$X$333,16,0)&amp;"",VLOOKUP($A32,Questions!$A$2:$X$333,15,0)&amp;""))</f>
      </c>
      <c r="F32" s="200">
        <f>VLOOKUP($A32,'Institution Evaluation'!$A$56:$F$345,6,0)&amp;""</f>
      </c>
      <c r="I32" s="35"/>
    </row>
    <row r="33" spans="1:10" s="1" customFormat="1" ht="54" customHeight="1" x14ac:dyDescent="0.15">
      <c r="A33" s="19" t="s">
        <v>61</v>
      </c>
      <c r="B33" s="18">
        <f>VLOOKUP($A33,Questions!$A$2:$X$333,2,0)&amp;""</f>
      </c>
      <c r="C33" s="21" t="s">
        <v>148</v>
      </c>
      <c r="D33" s="39"/>
      <c r="E33" s="166" t="str">
        <f>IF($C33='Auto Responses'!$J$3,VLOOKUP($A33,Questions!$A$2:$X$333,17,0)&amp;"",IF($C33='Auto Responses'!$J$4,VLOOKUP($A33,Questions!$A$2:$X$333,16,0)&amp;"",VLOOKUP($A33,Questions!$A$2:$X$333,15,0)&amp;""))</f>
      </c>
      <c r="F33" s="200">
        <f>VLOOKUP($A33,'Institution Evaluation'!$A$56:$F$345,6,0)&amp;""</f>
      </c>
      <c r="I33" s="35"/>
    </row>
    <row r="34" spans="1:10" s="1" customFormat="1" ht="54" customHeight="1" x14ac:dyDescent="0.15">
      <c r="A34" s="19" t="s">
        <v>64</v>
      </c>
      <c r="B34" s="18">
        <f>VLOOKUP($A34,Questions!$A$2:$X$333,2,0)&amp;""</f>
      </c>
      <c r="C34" s="21" t="s">
        <v>40</v>
      </c>
      <c r="D34" s="39" t="s">
        <v>1924</v>
      </c>
      <c r="E34" s="166">
        <f>IF($C34='Auto Responses'!$J$3,VLOOKUP($A34,Questions!$A$2:$X$333,17,0)&amp;"",IF($C34='Auto Responses'!$J$4,VLOOKUP($A34,Questions!$A$2:$X$333,16,0)&amp;"",VLOOKUP($A34,Questions!$A$2:$X$333,15,0)&amp;""))</f>
      </c>
      <c r="F34" s="200">
        <f>VLOOKUP($A34,'Institution Evaluation'!$A$56:$F$345,6,0)&amp;""</f>
      </c>
      <c r="I34" s="35"/>
    </row>
    <row r="35" spans="1:10" s="1" customFormat="1" ht="66" customHeight="1" x14ac:dyDescent="0.15">
      <c r="A35" s="19" t="s">
        <v>67</v>
      </c>
      <c r="B35" s="18">
        <f>VLOOKUP($A35,Questions!$A$2:$X$333,2,0)&amp;""</f>
      </c>
      <c r="C35" s="21" t="s">
        <v>148</v>
      </c>
      <c r="D35" s="39"/>
      <c r="E35" s="166" t="str">
        <f>IF($C35='Auto Responses'!$J$3,VLOOKUP($A35,Questions!$A$2:$X$333,17,0)&amp;"",IF($C35='Auto Responses'!$J$4,VLOOKUP($A35,Questions!$A$2:$X$333,16,0)&amp;"",VLOOKUP($A35,Questions!$A$2:$X$333,15,0)&amp;""))</f>
      </c>
      <c r="F35" s="200">
        <f>VLOOKUP($A35,'Institution Evaluation'!$A$56:$F$345,6,0)&amp;""</f>
      </c>
      <c r="I35" s="35"/>
    </row>
    <row r="36" spans="1:10" s="1" customFormat="1" ht="63.75" customHeight="1" x14ac:dyDescent="0.15">
      <c r="A36" s="154" t="s">
        <v>968</v>
      </c>
      <c r="B36" s="18">
        <f>VLOOKUP($A36,Questions!$A$2:$X$333,2,0)&amp;""</f>
      </c>
      <c r="C36" s="21" t="s">
        <v>40</v>
      </c>
      <c r="D36" s="39" t="s">
        <v>2085</v>
      </c>
      <c r="E36" s="166">
        <f>IF($C36='Auto Responses'!$J$3,VLOOKUP($A36,Questions!$A$2:$X$333,17,0)&amp;"",IF($C36='Auto Responses'!$J$4,VLOOKUP($A36,Questions!$A$2:$X$333,16,0)&amp;"",VLOOKUP($A36,Questions!$A$2:$X$333,15,0)&amp;""))</f>
      </c>
      <c r="F36" s="200">
        <f>VLOOKUP($A36,'Institution Evaluation'!$A$56:$F$345,6,0)&amp;""</f>
      </c>
      <c r="G36" s="367" t="s">
        <v>1448</v>
      </c>
      <c r="H36" s="35"/>
      <c r="J36" s="35"/>
    </row>
    <row r="37" spans="1:10" s="170" customFormat="1" ht="63.75" customHeight="1" x14ac:dyDescent="0.15">
      <c r="A37" s="242" t="s">
        <v>1465</v>
      </c>
      <c r="B37" s="248"/>
      <c r="C37" s="249"/>
      <c r="D37" s="250"/>
      <c r="E37" s="251"/>
      <c r="F37" s="252"/>
      <c r="G37" s="253"/>
      <c r="H37" s="171"/>
      <c r="J37" s="171"/>
    </row>
    <row r="38" spans="1:10" ht="24.75" customHeight="1" x14ac:dyDescent="0.15">
      <c r="A38" s="262" t="s">
        <v>1505</v>
      </c>
    </row>
    <row r="39" spans="1:10" ht="15" hidden="1" customHeight="1" x14ac:dyDescent="0.15"/>
    <row r="74" ht="15" hidden="1" customHeight="1" x14ac:dyDescent="0.15"/>
    <row r="75" ht="15" hidden="1" customHeight="1" x14ac:dyDescent="0.15"/>
  </sheetData>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24 D27 D3:F3 D16 D13:F15 D18:F21 E16:F17" xr:uid="{D49D790A-2236-4562-8A1A-C1D1B1C43217}"/>
  </dataValidations>
  <hyperlinks>
    <hyperlink ref="A11" r:id="rId1" display="For full instructions, visit the HECVAT website." xr:uid="{C8C809B9-E9A3-4614-BD81-E36A46E9EC44}"/>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C29:C37 C25:C26</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12" zoomScale="80" zoomScaleNormal="80" workbookViewId="0">
      <selection activeCell="D31" sqref="D31"/>
    </sheetView>
  </sheetViews>
  <sheetFormatPr baseColWidth="10" defaultColWidth="0" defaultRowHeight="0" customHeight="1" zeroHeight="1" x14ac:dyDescent="0.15"/>
  <cols>
    <col min="1" max="1" width="8.25" customWidth="1"/>
    <col min="2" max="2" width="55.125" style="1" customWidth="1"/>
    <col min="3" max="3" width="18.875" style="8" customWidth="1"/>
    <col min="4" max="4" width="55.625" style="9" customWidth="1"/>
    <col min="5" max="5" width="32" style="10" customWidth="1"/>
    <col min="6" max="6" width="30.625" style="1" customWidth="1"/>
    <col min="7" max="7" width="18.125" style="1" customWidth="1"/>
    <col min="8" max="8" width="18.125" style="1" hidden="1" customWidth="1"/>
    <col min="9" max="10" width="18.125" style="35" hidden="1" customWidth="1"/>
    <col min="11" max="11" width="4.5" style="1" hidden="1" customWidth="1"/>
    <col min="12" max="12" width="6.625" style="1" hidden="1" customWidth="1"/>
    <col min="13" max="16384" width="6.625" hidden="1"/>
  </cols>
  <sheetData>
    <row r="1" spans="1:10" ht="0" hidden="1" customHeight="1" x14ac:dyDescent="0.15">
      <c r="A1" t="s">
        <v>1447</v>
      </c>
    </row>
    <row r="2" spans="1:10" ht="36" customHeight="1" x14ac:dyDescent="0.15">
      <c r="A2" s="167" t="s">
        <v>1512</v>
      </c>
      <c r="B2" s="167"/>
      <c r="C2" s="168"/>
      <c r="D2" s="302"/>
      <c r="E2" s="169"/>
      <c r="F2" s="169" t="str">
        <f>'Auto Responses'!$A$36</f>
      </c>
      <c r="J2" s="1"/>
    </row>
    <row r="3" spans="1:10" s="1" customFormat="1" ht="29.25" customHeight="1" x14ac:dyDescent="0.15">
      <c r="A3" s="37" t="s">
        <v>940</v>
      </c>
      <c r="B3" s="38"/>
      <c r="C3" s="66">
        <f>'START HERE'!$C$3</f>
      </c>
      <c r="D3" s="303"/>
      <c r="E3" s="36"/>
      <c r="F3" s="50"/>
      <c r="I3" s="35"/>
    </row>
    <row r="4" spans="1:10" s="1" customFormat="1" ht="36" customHeight="1" x14ac:dyDescent="0.15">
      <c r="A4" s="11" t="s">
        <v>865</v>
      </c>
      <c r="B4" s="12"/>
      <c r="C4" s="13"/>
      <c r="D4" s="14"/>
      <c r="E4" s="15"/>
      <c r="F4" s="15"/>
      <c r="I4" s="35"/>
    </row>
    <row r="5" spans="1:10" s="1" customFormat="1" ht="19.5" customHeight="1" x14ac:dyDescent="0.15">
      <c r="A5" s="42" t="str">
        <f>HLOOKUP($A$4,'Auto Responses'!$D$2:$D$8,2,0)&amp;""</f>
      </c>
      <c r="B5" s="16"/>
      <c r="C5" s="67"/>
      <c r="D5" s="304"/>
      <c r="E5" s="16"/>
      <c r="F5" s="256"/>
      <c r="I5" s="35"/>
    </row>
    <row r="6" spans="1:10" s="1" customFormat="1" ht="19.5" customHeight="1" x14ac:dyDescent="0.15">
      <c r="A6" s="42" t="str">
        <f>HLOOKUP($A$4,'Auto Responses'!$D$2:$D$8,3,0)&amp;""</f>
      </c>
      <c r="B6" s="16"/>
      <c r="C6" s="67"/>
      <c r="D6" s="304"/>
      <c r="E6" s="16"/>
      <c r="F6" s="257"/>
      <c r="I6" s="35"/>
    </row>
    <row r="7" spans="1:10"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15">
      <c r="A8" s="42" t="str">
        <f>HLOOKUP($A$4,'Auto Responses'!$D$2:$D$8,5,0)&amp;""</f>
      </c>
      <c r="B8" s="16"/>
      <c r="C8" s="67"/>
      <c r="D8" s="304"/>
      <c r="E8" s="16"/>
      <c r="F8" s="257"/>
      <c r="I8" s="35"/>
    </row>
    <row r="9" spans="1:10" s="1" customFormat="1" ht="19.5" customHeight="1" x14ac:dyDescent="0.15">
      <c r="A9" s="42" t="str">
        <f>HLOOKUP($A$4,'Auto Responses'!$D$2:$D$8,6,0)&amp;""</f>
      </c>
      <c r="B9" s="16"/>
      <c r="C9" s="67"/>
      <c r="D9" s="304"/>
      <c r="E9" s="16"/>
      <c r="F9" s="257"/>
      <c r="I9" s="35"/>
    </row>
    <row r="10" spans="1:10" s="1" customFormat="1" ht="19.5" customHeight="1" x14ac:dyDescent="0.15">
      <c r="A10" s="243" t="str">
        <f>HLOOKUP($A$4,'Auto Responses'!$D$2:$D$8,7,0)&amp;""</f>
      </c>
      <c r="B10" s="16"/>
      <c r="C10" s="67"/>
      <c r="D10" s="304"/>
      <c r="E10" s="16"/>
      <c r="F10" s="257"/>
      <c r="I10" s="35"/>
    </row>
    <row r="11" spans="1:10" s="245" customFormat="1" ht="19.5" customHeight="1" x14ac:dyDescent="0.15">
      <c r="A11" s="360" t="str">
        <f>HLOOKUP($A$4,'Auto Responses'!$D$2:$D$9,8,0)&amp;""</f>
      </c>
      <c r="B11" s="243"/>
      <c r="C11" s="244"/>
      <c r="D11" s="313"/>
      <c r="E11" s="243"/>
      <c r="F11" s="259"/>
      <c r="I11" s="246"/>
    </row>
    <row r="12" spans="1:10" s="1" customFormat="1" ht="36" customHeight="1" x14ac:dyDescent="0.15">
      <c r="A12" s="63" t="str">
        <f>VLOOKUP(LEFT($A13,4),'Auto Responses'!$N$4:$O$38,2,0)&amp;""</f>
        <v xml:space="preserve"> General Information</v>
      </c>
      <c r="B12" s="12"/>
      <c r="C12" s="13" t="s">
        <v>1495</v>
      </c>
      <c r="D12" s="305"/>
      <c r="E12" s="17"/>
      <c r="F12" s="17"/>
      <c r="I12" s="35"/>
      <c r="J12" s="35"/>
    </row>
    <row r="13" spans="1:10" s="1" customFormat="1" ht="22.5" customHeight="1" x14ac:dyDescent="0.15">
      <c r="A13" s="19" t="s">
        <v>21</v>
      </c>
      <c r="B13" s="20">
        <f>VLOOKUP($A13,Questions!$A$2:$X$333,2,0)&amp;""</f>
      </c>
      <c r="C13" s="75">
        <f>VLOOKUP($A13,'START HERE'!$A$13:$C$21,3,0)&amp;""</f>
      </c>
      <c r="D13" s="32"/>
      <c r="E13" s="32"/>
      <c r="F13" s="50"/>
      <c r="I13" s="35"/>
      <c r="J13" s="35"/>
    </row>
    <row r="14" spans="1:10" s="1" customFormat="1" ht="22.5" customHeight="1" x14ac:dyDescent="0.15">
      <c r="A14" s="19" t="s">
        <v>24</v>
      </c>
      <c r="B14" s="20">
        <f>VLOOKUP($A14,Questions!$A$2:$X$333,2,0)&amp;""</f>
      </c>
      <c r="C14" s="75">
        <f>VLOOKUP($A14,'START HERE'!$A$13:$C$21,3,0)&amp;""</f>
      </c>
      <c r="D14" s="32"/>
      <c r="E14" s="32"/>
      <c r="F14" s="50"/>
      <c r="I14" s="35"/>
      <c r="J14" s="35"/>
    </row>
    <row r="15" spans="1:10" s="1" customFormat="1" ht="22.5" customHeight="1" x14ac:dyDescent="0.15">
      <c r="A15" s="19" t="s">
        <v>25</v>
      </c>
      <c r="B15" s="20">
        <f>VLOOKUP($A15,Questions!$A$2:$X$333,2,0)&amp;""</f>
      </c>
      <c r="C15" s="75">
        <f>VLOOKUP($A15,'START HERE'!$A$13:$C$21,3,0)&amp;""</f>
      </c>
      <c r="D15" s="32"/>
      <c r="E15" s="32"/>
      <c r="F15" s="50"/>
      <c r="I15" s="35"/>
      <c r="J15" s="35"/>
    </row>
    <row r="16" spans="1:10" s="1" customFormat="1" ht="22.5" customHeight="1" x14ac:dyDescent="0.15">
      <c r="A16" s="19" t="s">
        <v>26</v>
      </c>
      <c r="B16" s="20">
        <f>VLOOKUP($A16,Questions!$A$2:$X$333,2,0)&amp;""</f>
      </c>
      <c r="C16" s="75">
        <f>VLOOKUP($A16,'START HERE'!$A$13:$C$21,3,0)&amp;""</f>
      </c>
      <c r="D16" s="32"/>
      <c r="E16" s="32"/>
      <c r="F16" s="50"/>
      <c r="I16" s="35"/>
      <c r="J16" s="35"/>
    </row>
    <row r="17" spans="1:10" s="1" customFormat="1" ht="22.5" customHeight="1" x14ac:dyDescent="0.15">
      <c r="A17" s="19" t="s">
        <v>27</v>
      </c>
      <c r="B17" s="20">
        <f>VLOOKUP($A17,Questions!$A$2:$X$333,2,0)&amp;""</f>
      </c>
      <c r="C17" s="75">
        <f>VLOOKUP($A17,'START HERE'!$A$13:$C$21,3,0)&amp;""</f>
      </c>
      <c r="D17" s="32"/>
      <c r="E17" s="32"/>
      <c r="F17" s="50"/>
      <c r="I17" s="35"/>
      <c r="J17" s="35"/>
    </row>
    <row r="18" spans="1:10" s="1" customFormat="1" ht="22.5" customHeight="1" x14ac:dyDescent="0.15">
      <c r="A18" s="19" t="s">
        <v>28</v>
      </c>
      <c r="B18" s="20">
        <f>VLOOKUP($A18,Questions!$A$2:$X$333,2,0)&amp;""</f>
      </c>
      <c r="C18" s="75">
        <f>VLOOKUP($A18,'START HERE'!$A$13:$C$21,3,0)&amp;""</f>
      </c>
      <c r="D18" s="32"/>
      <c r="E18" s="32"/>
      <c r="F18" s="50"/>
      <c r="I18" s="35"/>
      <c r="J18" s="35"/>
    </row>
    <row r="19" spans="1:10" s="1" customFormat="1" ht="22.5" customHeight="1" x14ac:dyDescent="0.15">
      <c r="A19" s="19" t="s">
        <v>29</v>
      </c>
      <c r="B19" s="20">
        <f>VLOOKUP($A19,Questions!$A$2:$X$333,2,0)&amp;""</f>
      </c>
      <c r="C19" s="75">
        <f>VLOOKUP($A19,'START HERE'!$A$13:$C$21,3,0)&amp;""</f>
      </c>
      <c r="D19" s="32"/>
      <c r="E19" s="32"/>
      <c r="F19" s="50"/>
      <c r="I19" s="35"/>
      <c r="J19" s="35"/>
    </row>
    <row r="20" spans="1:10" s="1" customFormat="1" ht="22.5" customHeight="1" thickBot="1" x14ac:dyDescent="0.2">
      <c r="A20" s="19" t="s">
        <v>30</v>
      </c>
      <c r="B20" s="20">
        <f>VLOOKUP($A20,Questions!$A$2:$X$333,2,0)&amp;""</f>
      </c>
      <c r="C20" s="75">
        <f>VLOOKUP($A20,'START HERE'!$A$13:$C$21,3,0)&amp;""</f>
      </c>
      <c r="D20" s="32"/>
      <c r="E20" s="32"/>
      <c r="F20" s="50"/>
      <c r="I20" s="35"/>
      <c r="J20" s="35"/>
    </row>
    <row r="21" spans="1:10" s="1" customFormat="1" ht="37.5" customHeight="1" thickBot="1" x14ac:dyDescent="0.2">
      <c r="A21" s="63" t="str">
        <f>VLOOKUP(LEFT($A22,4),'Auto Responses'!$N$4:$O$38,2,0)&amp;""</f>
        <v xml:space="preserve"> Documentation</v>
      </c>
      <c r="B21" s="22"/>
      <c r="C21" s="13" t="s">
        <v>1495</v>
      </c>
      <c r="D21" s="13" t="s">
        <v>72</v>
      </c>
      <c r="E21" s="31" t="s">
        <v>848</v>
      </c>
      <c r="F21" s="186" t="s">
        <v>849</v>
      </c>
      <c r="I21" s="35"/>
      <c r="J21" s="35"/>
    </row>
    <row r="22" spans="1:10" s="1" customFormat="1" ht="38.25" customHeight="1" x14ac:dyDescent="0.15">
      <c r="A22" s="19" t="s">
        <v>70</v>
      </c>
      <c r="B22" s="18">
        <f>VLOOKUP($A22,Questions!$A$2:$X$333,2,0)</f>
      </c>
      <c r="C22" s="21" t="inlineStr">
        <is>
          <t xml:space="preserve">Yes</t>
        </is>
      </c>
      <c r="D22" s="34" t="inlineStr">
        <is>
          <t xml:space="preserve">Edugator internal policies (available on request): Business Continuity and Disaster Recovery Plan, owned by Marc Diaz (Founder), tested annually (point-in-time database restore and release redeploy).</t>
        </is>
      </c>
      <c r="E22" s="166">
        <f>IF($C22='Auto Responses'!$J$3,VLOOKUP($A22,Questions!$A$2:$X$333,17,0)&amp;"",IF($C22='Auto Responses'!$J$4,VLOOKUP($A22,Questions!$A$2:$X$333,16,0)&amp;"",VLOOKUP($A22,Questions!$A$2:$X$333,15,0)&amp;""))</f>
      </c>
      <c r="F22" s="200">
        <f>VLOOKUP($A22,'Institution Evaluation'!$A$56:$F$345,6,0)&amp;""</f>
      </c>
      <c r="I22" s="35"/>
      <c r="J22" s="35"/>
    </row>
    <row r="23" spans="1:10" s="1" customFormat="1" ht="38.25" customHeight="1" x14ac:dyDescent="0.15">
      <c r="A23" s="19" t="s">
        <v>76</v>
      </c>
      <c r="B23" s="18">
        <f>VLOOKUP($A23,Questions!$A$2:$X$333,2,0)</f>
      </c>
      <c r="C23" s="21" t="inlineStr">
        <is>
          <t xml:space="preserve">Yes</t>
        </is>
      </c>
      <c r="D23" s="34" t="inlineStr">
        <is>
          <t xml:space="preserve">Edugator internal policies (available on request): Business Continuity and Disaster Recovery Plan, owned by Marc Diaz (Founder). RDS point-in-time restore (7-day retention), last known good release redeployable in minutes, infrastructure rebuildable from Terraform. RTO 4 hours / RPO 5 minutes for database loss. Tested annually.</t>
        </is>
      </c>
      <c r="E23" s="166">
        <f>IF($C23='Auto Responses'!$J$3,VLOOKUP($A23,Questions!$A$2:$X$333,17,0)&amp;"",IF($C23='Auto Responses'!$J$4,VLOOKUP($A23,Questions!$A$2:$X$333,16,0)&amp;"",VLOOKUP($A23,Questions!$A$2:$X$333,15,0)&amp;""))</f>
      </c>
      <c r="F23" s="200">
        <f>VLOOKUP($A23,'Institution Evaluation'!$A$56:$F$345,6,0)&amp;""</f>
      </c>
      <c r="I23" s="35"/>
      <c r="J23" s="35"/>
    </row>
    <row r="24" spans="1:10" s="1" customFormat="1" ht="45.75" customHeight="1" x14ac:dyDescent="0.15">
      <c r="A24" s="19" t="s">
        <v>77</v>
      </c>
      <c r="B24" s="18">
        <f>VLOOKUP($A24,Questions!$A$2:$X$333,2,0)</f>
      </c>
      <c r="C24" s="21" t="s">
        <v>148</v>
      </c>
      <c r="D24" s="34" t="s">
        <v>1926</v>
      </c>
      <c r="E24" s="166">
        <f>IF($C24='Auto Responses'!$J$3,VLOOKUP($A24,Questions!$A$2:$X$333,17,0)&amp;"",IF($C24='Auto Responses'!$J$4,VLOOKUP($A24,Questions!$A$2:$X$333,16,0)&amp;"",VLOOKUP($A24,Questions!$A$2:$X$333,15,0)&amp;""))</f>
      </c>
      <c r="F24" s="200">
        <f>VLOOKUP($A24,'Institution Evaluation'!$A$56:$F$345,6,0)&amp;""</f>
      </c>
      <c r="I24" s="35"/>
      <c r="J24" s="35"/>
    </row>
    <row r="25" spans="1:10" s="1" customFormat="1" ht="48" customHeight="1" x14ac:dyDescent="0.15">
      <c r="A25" s="19" t="s">
        <v>80</v>
      </c>
      <c r="B25" s="18">
        <f>VLOOKUP($A25,Questions!$A$2:$X$333,2,0)</f>
      </c>
      <c r="C25" s="21" t="inlineStr">
        <is>
          <t xml:space="preserve">No</t>
        </is>
      </c>
      <c r="D25" s="34" t="inlineStr">
        <is>
          <t xml:space="preserve">No formal certification. Edugator's policies are aligned with the CIS Critical Security Controls, Implementation Group 1.</t>
        </is>
      </c>
      <c r="E25" s="166">
        <f>IF($C25='Auto Responses'!$J$3,VLOOKUP($A25,Questions!$A$2:$X$333,17,0)&amp;"",IF($C25='Auto Responses'!$J$4,VLOOKUP($A25,Questions!$A$2:$X$333,16,0)&amp;"",VLOOKUP($A25,Questions!$A$2:$X$333,15,0)&amp;""))</f>
      </c>
      <c r="F25" s="200">
        <f>VLOOKUP($A25,'Institution Evaluation'!$A$56:$F$345,6,0)&amp;""</f>
      </c>
      <c r="I25" s="35"/>
      <c r="J25" s="35"/>
    </row>
    <row r="26" spans="1:10" s="1" customFormat="1" ht="52.5" customHeight="1" x14ac:dyDescent="0.15">
      <c r="A26" s="19" t="s">
        <v>84</v>
      </c>
      <c r="B26" s="18">
        <f>VLOOKUP($A26,Questions!$A$2:$X$333,2,0)</f>
      </c>
      <c r="C26" s="21" t="s">
        <v>40</v>
      </c>
      <c r="D26" s="34" t="s">
        <v>1928</v>
      </c>
      <c r="E26" s="166">
        <f>IF($C26='Auto Responses'!$J$3,VLOOKUP($A26,Questions!$A$2:$X$333,17,0)&amp;"",IF($C26='Auto Responses'!$J$4,VLOOKUP($A26,Questions!$A$2:$X$333,16,0)&amp;"",VLOOKUP($A26,Questions!$A$2:$X$333,15,0)&amp;""))</f>
      </c>
      <c r="F26" s="200">
        <f>VLOOKUP($A26,'Institution Evaluation'!$A$56:$F$345,6,0)&amp;""</f>
      </c>
      <c r="I26" s="35"/>
      <c r="J26" s="35"/>
    </row>
    <row r="27" spans="1:10" s="1" customFormat="1" ht="55.5" customHeight="1" x14ac:dyDescent="0.15">
      <c r="A27" s="19" t="s">
        <v>88</v>
      </c>
      <c r="B27" s="18">
        <f>VLOOKUP($A27,Questions!$A$2:$X$333,2,0)</f>
      </c>
      <c r="C27" s="21" t="s">
        <v>40</v>
      </c>
      <c r="D27" s="34" t="s">
        <v>1929</v>
      </c>
      <c r="E27" s="166">
        <f>IF($C27='Auto Responses'!$J$3,VLOOKUP($A27,Questions!$A$2:$X$333,17,0)&amp;"",IF($C27='Auto Responses'!$J$4,VLOOKUP($A27,Questions!$A$2:$X$333,16,0)&amp;"",VLOOKUP($A27,Questions!$A$2:$X$333,15,0)&amp;""))</f>
      </c>
      <c r="F27" s="200">
        <f>VLOOKUP($A27,'Institution Evaluation'!$A$56:$F$345,6,0)&amp;""</f>
      </c>
      <c r="I27" s="35"/>
      <c r="J27" s="35"/>
    </row>
    <row r="28" spans="1:10" s="1" customFormat="1" ht="38.25" customHeight="1" thickBot="1" x14ac:dyDescent="0.2">
      <c r="A28" s="19" t="s">
        <v>92</v>
      </c>
      <c r="B28" s="18">
        <f>VLOOKUP($A28,Questions!$A$2:$X$333,2,0)</f>
      </c>
      <c r="C28" s="21" t="inlineStr">
        <is>
          <t xml:space="preserve">Yes</t>
        </is>
      </c>
      <c r="D28" s="34" t="inlineStr">
        <is>
          <t xml:space="preserve">Edugator internal policies (available on request): Information Security Policy §9 covers onboarding (agreements, training, least-privilege access) and offboarding (access removal, secret rotation, data return).</t>
        </is>
      </c>
      <c r="E28" s="166">
        <f>IF($C28='Auto Responses'!$J$3,VLOOKUP($A28,Questions!$A$2:$X$333,17,0)&amp;"",IF($C28='Auto Responses'!$J$4,VLOOKUP($A28,Questions!$A$2:$X$333,16,0)&amp;"",VLOOKUP($A28,Questions!$A$2:$X$333,15,0)&amp;""))</f>
      </c>
      <c r="F28" s="200">
        <f>VLOOKUP($A28,'Institution Evaluation'!$A$56:$F$345,6,0)&amp;""</f>
      </c>
      <c r="G28" s="235" t="s">
        <v>1448</v>
      </c>
      <c r="I28" s="35"/>
      <c r="J28" s="35"/>
    </row>
    <row r="29" spans="1:10" s="1" customFormat="1" ht="37.5" customHeight="1" thickBot="1" x14ac:dyDescent="0.2">
      <c r="A29" s="63" t="str">
        <f>VLOOKUP(LEFT($A30,4),'Auto Responses'!$N$4:$O$38,2,0)&amp;""</f>
        <v xml:space="preserve"> Assessment of Third Parties</v>
      </c>
      <c r="B29" s="22"/>
      <c r="C29" s="13" t="s">
        <v>1495</v>
      </c>
      <c r="D29" s="13" t="s">
        <v>72</v>
      </c>
      <c r="E29" s="31" t="s">
        <v>848</v>
      </c>
      <c r="F29" s="186" t="s">
        <v>849</v>
      </c>
      <c r="I29" s="35"/>
      <c r="J29" s="35"/>
    </row>
    <row r="30" spans="1:10" s="1" customFormat="1" ht="46.5" customHeight="1" x14ac:dyDescent="0.15">
      <c r="A30" s="19" t="s">
        <v>130</v>
      </c>
      <c r="B30" s="18">
        <f>VLOOKUP($A30,Questions!$A$2:$X$333,2,0)</f>
      </c>
      <c r="C30" s="21" t="inlineStr">
        <is>
          <t xml:space="preserve">Yes</t>
        </is>
      </c>
      <c r="D30" s="314" t="inlineStr">
        <is>
          <t xml:space="preserve">Edugator internal policies (available on request): Vendor Management policy: security evidence (SOC 2 / ISO 27001), DPA and privacy review before onboarding, and annual review of every vendor.</t>
        </is>
      </c>
      <c r="E30" s="166">
        <f>IF($C30='Auto Responses'!$J$3,VLOOKUP($A30,Questions!$A$2:$X$333,17,0)&amp;"",IF($C30='Auto Responses'!$J$4,VLOOKUP($A30,Questions!$A$2:$X$333,16,0)&amp;"",IF($C30='Auto Responses'!$J$5,VLOOKUP($A30,Questions!$A$2:$X$333,18,0)&amp;"",VLOOKUP($A30,Questions!$A$2:$X$333,15,0)&amp;"")))</f>
      </c>
      <c r="F30" s="200">
        <f>VLOOKUP($A30,'Institution Evaluation'!$A$56:$F$345,6,0)&amp;""</f>
      </c>
      <c r="I30" s="35"/>
      <c r="J30" s="35"/>
    </row>
    <row r="31" spans="1:10" s="1" customFormat="1" ht="61.5" customHeight="1" x14ac:dyDescent="0.15">
      <c r="A31" s="19" t="s">
        <v>134</v>
      </c>
      <c r="B31" s="18">
        <f>VLOOKUP($A31,Questions!$A$2:$X$333,2,0)</f>
      </c>
      <c r="C31" s="21" t="s">
        <v>40</v>
      </c>
      <c r="D31" s="314" t="s">
        <v>1932</v>
      </c>
      <c r="E31" s="166">
        <f>IF($C31='Auto Responses'!$J$3,VLOOKUP($A31,Questions!$A$2:$X$333,17,0)&amp;"",IF($C31='Auto Responses'!$J$4,VLOOKUP($A31,Questions!$A$2:$X$333,16,0)&amp;"",IF($C31='Auto Responses'!$J$5,VLOOKUP($A31,Questions!$A$2:$X$333,18,0)&amp;"",VLOOKUP($A31,Questions!$A$2:$X$333,15,0)&amp;"")))</f>
      </c>
      <c r="F31" s="200">
        <f>VLOOKUP($A31,'Institution Evaluation'!$A$56:$F$345,6,0)&amp;""</f>
      </c>
      <c r="I31" s="35"/>
      <c r="J31" s="35"/>
    </row>
    <row r="32" spans="1:10" s="1" customFormat="1" ht="50.25" customHeight="1" x14ac:dyDescent="0.15">
      <c r="A32" s="19" t="s">
        <v>136</v>
      </c>
      <c r="B32" s="18">
        <f>VLOOKUP($A32,Questions!$A$2:$X$333,2,0)</f>
      </c>
      <c r="C32" s="21" t="s">
        <v>148</v>
      </c>
      <c r="D32" s="314" t="s">
        <v>1933</v>
      </c>
      <c r="E32" s="166">
        <f>IF($C32='Auto Responses'!$J$3,VLOOKUP($A32,Questions!$A$2:$X$333,17,0)&amp;"",IF($C32='Auto Responses'!$J$4,VLOOKUP($A32,Questions!$A$2:$X$333,16,0)&amp;"",IF($C32='Auto Responses'!$J$5,VLOOKUP($A32,Questions!$A$2:$X$333,18,0)&amp;"",VLOOKUP($A32,Questions!$A$2:$X$333,15,0)&amp;"")))</f>
      </c>
      <c r="F32" s="200">
        <f>VLOOKUP($A32,'Institution Evaluation'!$A$56:$F$345,6,0)&amp;""</f>
      </c>
      <c r="I32" s="35"/>
      <c r="J32" s="35"/>
    </row>
    <row r="33" spans="1:10" s="1" customFormat="1" ht="62.25" customHeight="1" x14ac:dyDescent="0.15">
      <c r="A33" s="19" t="s">
        <v>137</v>
      </c>
      <c r="B33" s="18">
        <f>VLOOKUP($A33,Questions!$A$2:$X$333,2,0)</f>
      </c>
      <c r="C33" s="21" t="inlineStr">
        <is>
          <t xml:space="preserve">Yes</t>
        </is>
      </c>
      <c r="D33" s="314" t="inlineStr">
        <is>
          <t xml:space="preserve">Edugator internal policies (available on request): Vendor Management policy with a maintained vendor list recording each vendor's purpose, data received, region, security evidence and DPA status.</t>
        </is>
      </c>
      <c r="E33" s="166">
        <f>IF($C33='Auto Responses'!$J$3,VLOOKUP($A33,Questions!$A$2:$X$333,17,0)&amp;"",IF($C33='Auto Responses'!$J$4,VLOOKUP($A33,Questions!$A$2:$X$333,16,0)&amp;"",IF($C33='Auto Responses'!$J$5,VLOOKUP($A33,Questions!$A$2:$X$333,18,0)&amp;"",VLOOKUP($A33,Questions!$A$2:$X$333,15,0)&amp;"")))</f>
      </c>
      <c r="F33" s="200">
        <f>VLOOKUP($A33,'Institution Evaluation'!$A$56:$F$345,6,0)&amp;""</f>
      </c>
      <c r="I33" s="35"/>
      <c r="J33" s="35"/>
    </row>
    <row r="34" spans="1:10" s="1" customFormat="1" ht="53.25" customHeight="1" thickBot="1" x14ac:dyDescent="0.2">
      <c r="A34" s="19" t="s">
        <v>140</v>
      </c>
      <c r="B34" s="18">
        <f>VLOOKUP($A34,Questions!$A$2:$X$333,2,0)</f>
      </c>
      <c r="C34" s="21" t="s">
        <v>1525</v>
      </c>
      <c r="D34" s="314" t="s">
        <v>2090</v>
      </c>
      <c r="E34" s="166">
        <f>IF($C34='Auto Responses'!$J$3,VLOOKUP($A34,Questions!$A$2:$X$333,17,0)&amp;"",IF($C34='Auto Responses'!$J$4,VLOOKUP($A34,Questions!$A$2:$X$333,16,0)&amp;"",VLOOKUP($A34,Questions!$A$2:$X$333,15,0)&amp;""))</f>
      </c>
      <c r="F34" s="200">
        <f>VLOOKUP($A34,'Institution Evaluation'!$A$56:$F$345,6,0)&amp;""</f>
      </c>
      <c r="G34" s="235" t="s">
        <v>1448</v>
      </c>
      <c r="I34" s="35"/>
      <c r="J34" s="35"/>
    </row>
    <row r="35" spans="1:10" s="1" customFormat="1" ht="37.5" customHeight="1" thickBot="1" x14ac:dyDescent="0.2">
      <c r="A35" s="63" t="str">
        <f>VLOOKUP(LEFT($A36,4),'Auto Responses'!$N$4:$O$38,2,0)&amp;""</f>
        <v xml:space="preserve"> Change Management</v>
      </c>
      <c r="B35" s="22"/>
      <c r="C35" s="13" t="s">
        <v>1495</v>
      </c>
      <c r="D35" s="13" t="s">
        <v>72</v>
      </c>
      <c r="E35" s="31" t="s">
        <v>848</v>
      </c>
      <c r="F35" s="186" t="s">
        <v>849</v>
      </c>
      <c r="I35" s="35"/>
      <c r="J35" s="35"/>
    </row>
    <row r="36" spans="1:10" s="1" customFormat="1" ht="38.25" customHeight="1" x14ac:dyDescent="0.15">
      <c r="A36" s="19" t="s">
        <v>274</v>
      </c>
      <c r="B36" s="18">
        <f>VLOOKUP($A36,Questions!$A$2:$X$333,2,0)</f>
      </c>
      <c r="C36" s="21" t="s">
        <v>40</v>
      </c>
      <c r="D36" s="314" t="s">
        <v>1935</v>
      </c>
      <c r="E36" s="166">
        <f>IF($C36='Auto Responses'!$J$3,VLOOKUP($A36,Questions!$A$2:$X$333,17,0)&amp;"",IF($C36='Auto Responses'!$J$4,VLOOKUP($A36,Questions!$A$2:$X$333,16,0)&amp;"",VLOOKUP($A36,Questions!$A$2:$X$333,15,0)&amp;""))</f>
      </c>
      <c r="F36" s="200">
        <f>VLOOKUP($A36,'Institution Evaluation'!$A$56:$F$345,6,0)&amp;""</f>
      </c>
      <c r="I36" s="35"/>
      <c r="J36" s="35"/>
    </row>
    <row r="37" spans="1:10" s="1" customFormat="1" ht="54" customHeight="1" x14ac:dyDescent="0.15">
      <c r="A37" s="19" t="s">
        <v>279</v>
      </c>
      <c r="B37" s="18">
        <f>VLOOKUP($A37,Questions!$A$2:$X$333,2,0)</f>
      </c>
      <c r="C37" s="21" t="s">
        <v>40</v>
      </c>
      <c r="D37" s="314" t="s">
        <v>1936</v>
      </c>
      <c r="E37" s="166">
        <f>IF($C37='Auto Responses'!$J$3,VLOOKUP($A37,Questions!$A$2:$X$333,17,0)&amp;"",IF($C37='Auto Responses'!$J$4,VLOOKUP($A37,Questions!$A$2:$X$333,16,0)&amp;"",IF($C37='Auto Responses'!$J$5,VLOOKUP($A37,Questions!$A$2:$X$333,18,0)&amp;"",VLOOKUP($A37,Questions!$A$2:$X$333,15,0)&amp;"")))</f>
      </c>
      <c r="F37" s="200">
        <f>VLOOKUP($A37,'Institution Evaluation'!$A$56:$F$345,6,0)&amp;""</f>
      </c>
      <c r="I37" s="35"/>
      <c r="J37" s="35"/>
    </row>
    <row r="38" spans="1:10" s="1" customFormat="1" ht="65.25" customHeight="1" x14ac:dyDescent="0.15">
      <c r="A38" s="19" t="s">
        <v>280</v>
      </c>
      <c r="B38" s="18">
        <f>VLOOKUP($A38,Questions!$A$2:$X$333,2,0)</f>
      </c>
      <c r="C38" s="21" t="s">
        <v>40</v>
      </c>
      <c r="D38" s="314" t="s">
        <v>1937</v>
      </c>
      <c r="E38" s="166">
        <f>IF($C38='Auto Responses'!$J$3,VLOOKUP($A38,Questions!$A$2:$X$333,17,0)&amp;"",IF($C38='Auto Responses'!$J$4,VLOOKUP($A38,Questions!$A$2:$X$333,16,0)&amp;"",IF($C38='Auto Responses'!$J$5,VLOOKUP($A38,Questions!$A$2:$X$333,18,0)&amp;"",VLOOKUP($A38,Questions!$A$2:$X$333,15,0)&amp;"")))</f>
      </c>
      <c r="F38" s="200">
        <f>VLOOKUP($A38,'Institution Evaluation'!$A$56:$F$345,6,0)&amp;""</f>
      </c>
      <c r="I38" s="35"/>
      <c r="J38" s="35"/>
    </row>
    <row r="39" spans="1:10" s="1" customFormat="1" ht="38.25" customHeight="1" x14ac:dyDescent="0.15">
      <c r="A39" s="19" t="s">
        <v>281</v>
      </c>
      <c r="B39" s="18">
        <f>VLOOKUP($A39,Questions!$A$2:$X$333,2,0)</f>
      </c>
      <c r="C39" s="21" t="s">
        <v>40</v>
      </c>
      <c r="D39" s="314" t="s">
        <v>2087</v>
      </c>
      <c r="E39" s="166">
        <f>IF($C39='Auto Responses'!$J$3,VLOOKUP($A39,Questions!$A$2:$X$333,17,0)&amp;"",IF($C39='Auto Responses'!$J$4,VLOOKUP($A39,Questions!$A$2:$X$333,16,0)&amp;"",VLOOKUP($A39,Questions!$A$2:$X$333,15,0)&amp;""))</f>
      </c>
      <c r="F39" s="200">
        <f>VLOOKUP($A39,'Institution Evaluation'!$A$56:$F$345,6,0)&amp;""</f>
      </c>
      <c r="I39" s="35"/>
      <c r="J39" s="35"/>
    </row>
    <row r="40" spans="1:10" s="1" customFormat="1" ht="53.25" customHeight="1" x14ac:dyDescent="0.15">
      <c r="A40" s="19" t="s">
        <v>285</v>
      </c>
      <c r="B40" s="18">
        <f>VLOOKUP($A40,Questions!$A$2:$X$333,2,0)</f>
      </c>
      <c r="C40" s="21" t="s">
        <v>40</v>
      </c>
      <c r="D40" s="314" t="s">
        <v>2088</v>
      </c>
      <c r="E40" s="166">
        <f>IF($C40='Auto Responses'!$J$3,VLOOKUP($A40,Questions!$A$2:$X$333,17,0)&amp;"",IF($C40='Auto Responses'!$J$4,VLOOKUP($A40,Questions!$A$2:$X$333,16,0)&amp;"",VLOOKUP($A40,Questions!$A$2:$X$333,15,0)&amp;""))</f>
      </c>
      <c r="F40" s="200">
        <f>VLOOKUP($A40,'Institution Evaluation'!$A$56:$F$345,6,0)&amp;""</f>
      </c>
      <c r="I40" s="35"/>
      <c r="J40" s="35"/>
    </row>
    <row r="41" spans="1:10" s="1" customFormat="1" ht="54.75" customHeight="1" x14ac:dyDescent="0.15">
      <c r="A41" s="19" t="s">
        <v>288</v>
      </c>
      <c r="B41" s="18">
        <f>VLOOKUP($A41,Questions!$A$2:$X$333,2,0)</f>
      </c>
      <c r="C41" s="21" t="s">
        <v>40</v>
      </c>
      <c r="D41" s="314" t="s">
        <v>1938</v>
      </c>
      <c r="E41" s="166">
        <f>IF($C41='Auto Responses'!$J$3,VLOOKUP($A41,Questions!$A$2:$X$333,17,0)&amp;"",IF($C41='Auto Responses'!$J$4,VLOOKUP($A41,Questions!$A$2:$X$333,16,0)&amp;"",VLOOKUP($A41,Questions!$A$2:$X$333,15,0)&amp;""))</f>
      </c>
      <c r="F41" s="200">
        <f>VLOOKUP($A41,'Institution Evaluation'!$A$56:$F$345,6,0)&amp;""</f>
      </c>
      <c r="I41" s="35"/>
      <c r="J41" s="35"/>
    </row>
    <row r="42" spans="1:10" s="1" customFormat="1" ht="53.25" customHeight="1" x14ac:dyDescent="0.15">
      <c r="A42" s="19" t="s">
        <v>292</v>
      </c>
      <c r="B42" s="18">
        <f>VLOOKUP($A42,Questions!$A$2:$X$333,2,0)</f>
      </c>
      <c r="C42" s="21" t="inlineStr">
        <is>
          <t xml:space="preserve">Yes</t>
        </is>
      </c>
      <c r="D42" s="314" t="inlineStr">
        <is>
          <t xml:space="preserve">Edugator internal policies (available on request): Change and Patch Management §5: critical/high vulnerabilities (CVSS 7.0+ or actively exploited) patched within 7 days for dependencies and images, 14 days for managed services and devices; monthly advisory review.</t>
        </is>
      </c>
      <c r="E42" s="166">
        <f>IF($C42='Auto Responses'!$J$3,VLOOKUP($A42,Questions!$A$2:$X$333,17,0)&amp;"",IF($C42='Auto Responses'!$J$4,VLOOKUP($A42,Questions!$A$2:$X$333,16,0)&amp;"",VLOOKUP($A42,Questions!$A$2:$X$333,15,0)&amp;""))</f>
      </c>
      <c r="F42" s="200">
        <f>VLOOKUP($A42,'Institution Evaluation'!$A$56:$F$345,6,0)&amp;""</f>
      </c>
      <c r="I42" s="35"/>
      <c r="J42" s="35"/>
    </row>
    <row r="43" spans="1:10" s="1" customFormat="1" ht="38.25" customHeight="1" x14ac:dyDescent="0.15">
      <c r="A43" s="19" t="s">
        <v>296</v>
      </c>
      <c r="B43" s="18">
        <f>VLOOKUP($A43,Questions!$A$2:$X$333,2,0)</f>
      </c>
      <c r="C43" s="21" t="inlineStr">
        <is>
          <t xml:space="preserve">Yes</t>
        </is>
      </c>
      <c r="D43" s="314" t="inlineStr">
        <is>
          <t xml:space="preserve">Edugator internal policies (available on request): Change and Patch Management §6: documented interim mitigations (disable feature, tighten network/IAM, input blocking, credential rotation, increased monitoring) with a tracked expiry until patched.</t>
        </is>
      </c>
      <c r="E43" s="166">
        <f>IF($C43='Auto Responses'!$J$3,VLOOKUP($A43,Questions!$A$2:$X$333,17,0)&amp;"",IF($C43='Auto Responses'!$J$4,VLOOKUP($A43,Questions!$A$2:$X$333,16,0)&amp;"",VLOOKUP($A43,Questions!$A$2:$X$333,15,0)&amp;""))</f>
      </c>
      <c r="F43" s="200">
        <f>VLOOKUP($A43,'Institution Evaluation'!$A$56:$F$345,6,0)&amp;""</f>
      </c>
      <c r="I43" s="35"/>
      <c r="J43" s="35"/>
    </row>
    <row r="44" spans="1:10" s="1" customFormat="1" ht="52.5" customHeight="1" x14ac:dyDescent="0.15">
      <c r="A44" s="19" t="s">
        <v>299</v>
      </c>
      <c r="B44" s="18">
        <f>VLOOKUP($A44,Questions!$A$2:$X$333,2,0)</f>
      </c>
      <c r="C44" s="21" t="s">
        <v>148</v>
      </c>
      <c r="D44" s="314" t="s">
        <v>1941</v>
      </c>
      <c r="E44" s="166">
        <f>IF($C44='Auto Responses'!$J$3,VLOOKUP($A44,Questions!$A$2:$X$333,17,0)&amp;"",IF($C44='Auto Responses'!$J$4,VLOOKUP($A44,Questions!$A$2:$X$333,16,0)&amp;"",IF($C44='Auto Responses'!$J$5,VLOOKUP($A44,Questions!$A$2:$X$333,18,0)&amp;"",VLOOKUP($A44,Questions!$A$2:$X$333,15,0)&amp;"")))</f>
      </c>
      <c r="F44" s="200">
        <f>VLOOKUP($A44,'Institution Evaluation'!$A$56:$F$345,6,0)&amp;""</f>
      </c>
      <c r="I44" s="35"/>
      <c r="J44" s="35"/>
    </row>
    <row r="45" spans="1:10" s="1" customFormat="1" ht="64.5" customHeight="1" x14ac:dyDescent="0.15">
      <c r="A45" s="19" t="s">
        <v>302</v>
      </c>
      <c r="B45" s="18">
        <f>VLOOKUP($A45,Questions!$A$2:$X$333,2,0)</f>
      </c>
      <c r="C45" s="21" t="s">
        <v>1525</v>
      </c>
      <c r="D45" s="314" t="s">
        <v>1942</v>
      </c>
      <c r="E45" s="166">
        <f>IF($C45='Auto Responses'!$J$3,VLOOKUP($A45,Questions!$A$2:$X$333,17,0)&amp;"",IF($C45='Auto Responses'!$J$4,VLOOKUP($A45,Questions!$A$2:$X$333,16,0)&amp;"",IF($C45='Auto Responses'!$J$5,VLOOKUP($A45,Questions!$A$2:$X$333,18,0)&amp;"",VLOOKUP($A45,Questions!$A$2:$X$333,15,0)&amp;"")))</f>
      </c>
      <c r="F45" s="200">
        <f>VLOOKUP($A45,'Institution Evaluation'!$A$56:$F$345,6,0)&amp;""</f>
      </c>
      <c r="I45" s="35"/>
      <c r="J45" s="35"/>
    </row>
    <row r="46" spans="1:10" s="1" customFormat="1" ht="49.5" customHeight="1" x14ac:dyDescent="0.15">
      <c r="A46" s="19" t="s">
        <v>304</v>
      </c>
      <c r="B46" s="18">
        <f>VLOOKUP($A46,Questions!$A$2:$X$333,2,0)</f>
      </c>
      <c r="C46" s="21" t="s">
        <v>40</v>
      </c>
      <c r="D46" s="314" t="s">
        <v>2091</v>
      </c>
      <c r="E46" s="166">
        <f>IF($C46='Auto Responses'!$J$3,VLOOKUP($A46,Questions!$A$2:$X$333,17,0)&amp;"",IF($C46='Auto Responses'!$J$4,VLOOKUP($A46,Questions!$A$2:$X$333,16,0)&amp;"",IF($C46='Auto Responses'!$J$5,VLOOKUP($A46,Questions!$A$2:$X$333,18,0)&amp;"",VLOOKUP($A46,Questions!$A$2:$X$333,15,0)&amp;"")))</f>
      </c>
      <c r="F46" s="200">
        <f>VLOOKUP($A46,'Institution Evaluation'!$A$56:$F$345,6,0)&amp;""</f>
      </c>
      <c r="I46" s="35"/>
      <c r="J46" s="35"/>
    </row>
    <row r="47" spans="1:10" s="1" customFormat="1" ht="54" customHeight="1" x14ac:dyDescent="0.15">
      <c r="A47" s="19" t="s">
        <v>308</v>
      </c>
      <c r="B47" s="18">
        <f>VLOOKUP($A47,Questions!$A$2:$X$333,2,0)</f>
      </c>
      <c r="C47" s="21" t="s">
        <v>148</v>
      </c>
      <c r="D47" s="314" t="s">
        <v>1943</v>
      </c>
      <c r="E47" s="166">
        <f>IF($C47='Auto Responses'!$J$3,VLOOKUP($A47,Questions!$A$2:$X$333,17,0)&amp;"",IF($C47='Auto Responses'!$J$4,VLOOKUP($A47,Questions!$A$2:$X$333,16,0)&amp;"",IF($C47='Auto Responses'!$J$5,VLOOKUP($A47,Questions!$A$2:$X$333,18,0)&amp;"",VLOOKUP($A47,Questions!$A$2:$X$333,15,0)&amp;"")))</f>
      </c>
      <c r="F47" s="200">
        <f>VLOOKUP($A47,'Institution Evaluation'!$A$56:$F$345,6,0)&amp;""</f>
      </c>
      <c r="I47" s="35"/>
      <c r="J47" s="35"/>
    </row>
    <row r="48" spans="1:10" s="1" customFormat="1" ht="38.25" customHeight="1" x14ac:dyDescent="0.15">
      <c r="A48" s="19" t="s">
        <v>311</v>
      </c>
      <c r="B48" s="18">
        <f>VLOOKUP($A48,Questions!$A$2:$X$333,2,0)</f>
      </c>
      <c r="C48" s="21" t="s">
        <v>40</v>
      </c>
      <c r="D48" s="314" t="s">
        <v>1944</v>
      </c>
      <c r="E48" s="166">
        <f>IF($C48='Auto Responses'!$J$3,VLOOKUP($A48,Questions!$A$2:$X$333,17,0)&amp;"",IF($C48='Auto Responses'!$J$4,VLOOKUP($A48,Questions!$A$2:$X$333,16,0)&amp;"",VLOOKUP($A48,Questions!$A$2:$X$333,15,0)&amp;""))</f>
      </c>
      <c r="F48" s="200">
        <f>VLOOKUP($A48,'Institution Evaluation'!$A$56:$F$345,6,0)&amp;""</f>
      </c>
      <c r="I48" s="35"/>
      <c r="J48" s="35"/>
    </row>
    <row r="49" spans="1:10" s="1" customFormat="1" ht="38.25" customHeight="1" x14ac:dyDescent="0.15">
      <c r="A49" s="19" t="s">
        <v>315</v>
      </c>
      <c r="B49" s="18">
        <f>VLOOKUP($A49,Questions!$A$2:$X$333,2,0)</f>
      </c>
      <c r="C49" s="21" t="s">
        <v>40</v>
      </c>
      <c r="D49" s="314" t="s">
        <v>1945</v>
      </c>
      <c r="E49" s="166">
        <f>IF($C49='Auto Responses'!$J$3,VLOOKUP($A49,Questions!$A$2:$X$333,17,0)&amp;"",IF($C49='Auto Responses'!$J$4,VLOOKUP($A49,Questions!$A$2:$X$333,16,0)&amp;"",VLOOKUP($A49,Questions!$A$2:$X$333,15,0)&amp;""))</f>
      </c>
      <c r="F49" s="200">
        <f>VLOOKUP($A49,'Institution Evaluation'!$A$56:$F$345,6,0)&amp;""</f>
      </c>
      <c r="I49" s="35"/>
      <c r="J49" s="35"/>
    </row>
    <row r="50" spans="1:10" s="1" customFormat="1" ht="38.25" customHeight="1" x14ac:dyDescent="0.15">
      <c r="A50" s="19" t="s">
        <v>319</v>
      </c>
      <c r="B50" s="18">
        <f>VLOOKUP($A50,Questions!$A$2:$X$333,2,0)</f>
      </c>
      <c r="C50" s="21" t="inlineStr">
        <is>
          <t xml:space="preserve">Yes</t>
        </is>
      </c>
      <c r="D50" s="314" t="inlineStr">
        <is>
          <t xml:space="preserve">Edugator internal policies (available on request): Change and Patch Management §4: emergency changes approved by the Founder (or a co-founder), still go through PR and CI, and are documented with after-the-fact review within 2 business days.</t>
        </is>
      </c>
      <c r="E50" s="166">
        <f>IF($C50='Auto Responses'!$J$3,VLOOKUP($A50,Questions!$A$2:$X$333,17,0)&amp;"",IF($C50='Auto Responses'!$J$4,VLOOKUP($A50,Questions!$A$2:$X$333,16,0)&amp;"",VLOOKUP($A50,Questions!$A$2:$X$333,15,0)&amp;""))</f>
      </c>
      <c r="F50" s="200">
        <f>VLOOKUP($A50,'Institution Evaluation'!$A$56:$F$345,6,0)&amp;""</f>
      </c>
      <c r="I50" s="35"/>
      <c r="J50" s="35"/>
    </row>
    <row r="51" spans="1:10" s="1" customFormat="1" ht="48" customHeight="1" thickBot="1" x14ac:dyDescent="0.2">
      <c r="A51" s="19" t="s">
        <v>321</v>
      </c>
      <c r="B51" s="18">
        <f>VLOOKUP($A51,Questions!$A$2:$X$333,2,0)</f>
      </c>
      <c r="C51" s="21" t="inlineStr">
        <is>
          <t xml:space="preserve">Yes</t>
        </is>
      </c>
      <c r="D51" s="314" t="inlineStr">
        <is>
          <t xml:space="preserve">Edugator internal policies (available on request): Cloud infrastructure is managed as code in Terraform via reviewed pull requests; Information Security Policy §5 sets device requirements (disk encryption, patching, screen lock, password manager) for all devices used for Edugator work.</t>
        </is>
      </c>
      <c r="E51" s="166">
        <f>IF($C51='Auto Responses'!$J$3,VLOOKUP($A51,Questions!$A$2:$X$333,17,0)&amp;"",IF($C51='Auto Responses'!$J$4,VLOOKUP($A51,Questions!$A$2:$X$333,16,0)&amp;"",VLOOKUP($A51,Questions!$A$2:$X$333,15,0)&amp;""))</f>
      </c>
      <c r="F51" s="200">
        <f>VLOOKUP($A51,'Institution Evaluation'!$A$56:$F$345,6,0)&amp;""</f>
      </c>
      <c r="G51" s="235" t="s">
        <v>1448</v>
      </c>
      <c r="I51" s="35"/>
      <c r="J51" s="35"/>
    </row>
    <row r="52" spans="1:10" s="1" customFormat="1" ht="37.5" customHeight="1" thickBot="1" x14ac:dyDescent="0.2">
      <c r="A52" s="63" t="str">
        <f>VLOOKUP(LEFT($A53,4),'Auto Responses'!$N$4:$O$38,2,0)&amp;""</f>
        <v xml:space="preserve"> Policies, Processes, and Procedures</v>
      </c>
      <c r="B52" s="22"/>
      <c r="C52" s="13" t="s">
        <v>1495</v>
      </c>
      <c r="D52" s="13" t="s">
        <v>72</v>
      </c>
      <c r="E52" s="31" t="s">
        <v>848</v>
      </c>
      <c r="F52" s="186" t="s">
        <v>849</v>
      </c>
      <c r="I52" s="35"/>
      <c r="J52" s="35"/>
    </row>
    <row r="53" spans="1:10" s="1" customFormat="1" ht="38.25" customHeight="1" x14ac:dyDescent="0.15">
      <c r="A53" s="19" t="s">
        <v>503</v>
      </c>
      <c r="B53" s="18">
        <f>VLOOKUP($A53,Questions!$A$2:$X$333,2,0)</f>
      </c>
      <c r="C53" s="21" t="inlineStr">
        <is>
          <t xml:space="preserve">Yes</t>
        </is>
      </c>
      <c r="D53" s="314" t="inlineStr">
        <is>
          <t xml:space="preserve">Edugator internal policies (available on request): Change and Patch Management §5 defines patch sources, deadlines by severity and a monthly review.</t>
        </is>
      </c>
      <c r="E53" s="166">
        <f>IF($C53='Auto Responses'!$J$3,VLOOKUP($A53,Questions!$A$2:$X$333,17,0)&amp;"",IF($C53='Auto Responses'!$J$4,VLOOKUP($A53,Questions!$A$2:$X$333,16,0)&amp;"",VLOOKUP($A53,Questions!$A$2:$X$333,15,0)&amp;""))</f>
      </c>
      <c r="F53" s="200">
        <f>VLOOKUP($A53,'Institution Evaluation'!$A$56:$F$345,6,0)&amp;""</f>
      </c>
      <c r="I53" s="35"/>
      <c r="J53" s="35"/>
    </row>
    <row r="54" spans="1:10" s="1" customFormat="1" ht="56.25" customHeight="1" x14ac:dyDescent="0.15">
      <c r="A54" s="19" t="s">
        <v>504</v>
      </c>
      <c r="B54" s="18">
        <f>VLOOKUP($A54,Questions!$A$2:$X$333,2,0)</f>
      </c>
      <c r="C54" s="21" t="s">
        <v>40</v>
      </c>
      <c r="D54" s="314"/>
      <c r="E54" s="166" t="str">
        <f>IF($C54='Auto Responses'!$J$3,VLOOKUP($A54,Questions!$A$2:$X$333,17,0)&amp;"",IF($C54='Auto Responses'!$J$4,VLOOKUP($A54,Questions!$A$2:$X$333,16,0)&amp;"",VLOOKUP($A54,Questions!$A$2:$X$333,15,0)&amp;""))</f>
      </c>
      <c r="F54" s="200">
        <f>VLOOKUP($A54,'Institution Evaluation'!$A$56:$F$345,6,0)&amp;""</f>
      </c>
      <c r="I54" s="35"/>
      <c r="J54" s="35"/>
    </row>
    <row r="55" spans="1:10" s="1" customFormat="1" ht="38.25" customHeight="1" x14ac:dyDescent="0.15">
      <c r="A55" s="19" t="s">
        <v>506</v>
      </c>
      <c r="B55" s="18">
        <f>VLOOKUP($A55,Questions!$A$2:$X$333,2,0)</f>
      </c>
      <c r="C55" s="21" t="s">
        <v>40</v>
      </c>
      <c r="D55" s="314" t="s">
        <v>1949</v>
      </c>
      <c r="E55" s="166">
        <f>IF($C55='Auto Responses'!$J$3,VLOOKUP($A55,Questions!$A$2:$X$333,17,0)&amp;"",IF($C55='Auto Responses'!$J$4,VLOOKUP($A55,Questions!$A$2:$X$333,16,0)&amp;"",VLOOKUP($A55,Questions!$A$2:$X$333,15,0)&amp;""))</f>
      </c>
      <c r="F55" s="200">
        <f>VLOOKUP($A55,'Institution Evaluation'!$A$56:$F$345,6,0)&amp;""</f>
      </c>
      <c r="I55" s="35"/>
      <c r="J55" s="35"/>
    </row>
    <row r="56" spans="1:10" s="1" customFormat="1" ht="38.25" customHeight="1" x14ac:dyDescent="0.15">
      <c r="A56" s="19" t="s">
        <v>510</v>
      </c>
      <c r="B56" s="18">
        <f>VLOOKUP($A56,Questions!$A$2:$X$333,2,0)</f>
      </c>
      <c r="C56" s="21" t="s">
        <v>40</v>
      </c>
      <c r="D56" s="314" t="s">
        <v>1950</v>
      </c>
      <c r="E56" s="166">
        <f>IF($C56='Auto Responses'!$J$3,VLOOKUP($A56,Questions!$A$2:$X$333,17,0)&amp;"",IF($C56='Auto Responses'!$J$4,VLOOKUP($A56,Questions!$A$2:$X$333,16,0)&amp;"",VLOOKUP($A56,Questions!$A$2:$X$333,15,0)&amp;""))</f>
      </c>
      <c r="F56" s="200">
        <f>VLOOKUP($A56,'Institution Evaluation'!$A$56:$F$345,6,0)&amp;""</f>
      </c>
      <c r="I56" s="35"/>
      <c r="J56" s="35"/>
    </row>
    <row r="57" spans="1:10" s="1" customFormat="1" ht="36" customHeight="1" x14ac:dyDescent="0.15">
      <c r="A57" s="19" t="s">
        <v>514</v>
      </c>
      <c r="B57" s="18">
        <f>VLOOKUP($A57,Questions!$A$2:$X$333,2,0)</f>
      </c>
      <c r="C57" s="21" t="inlineStr">
        <is>
          <t xml:space="preserve">Yes</t>
        </is>
      </c>
      <c r="D57" s="314" t="inlineStr">
        <is>
          <t xml:space="preserve">Edugator internal policies (available on request): Change and Patch Management §1 defines the SDLC: plan, build, automated tests in CI, peer review via pull request on a protected main branch, tagged release, post-release verification.</t>
        </is>
      </c>
      <c r="E57" s="166">
        <f>IF($C57='Auto Responses'!$J$3,VLOOKUP($A57,Questions!$A$2:$X$333,17,0)&amp;"",IF($C57='Auto Responses'!$J$4,VLOOKUP($A57,Questions!$A$2:$X$333,16,0)&amp;"",VLOOKUP($A57,Questions!$A$2:$X$333,15,0)&amp;""))</f>
      </c>
      <c r="F57" s="200">
        <f>VLOOKUP($A57,'Institution Evaluation'!$A$56:$F$345,6,0)&amp;""</f>
      </c>
      <c r="I57" s="35"/>
      <c r="J57" s="35"/>
    </row>
    <row r="58" spans="1:10" s="1" customFormat="1" ht="45" x14ac:dyDescent="0.15">
      <c r="A58" s="19" t="s">
        <v>517</v>
      </c>
      <c r="B58" s="18">
        <f>VLOOKUP($A58,Questions!$A$2:$X$333,2,0)</f>
      </c>
      <c r="C58" s="21" t="s">
        <v>148</v>
      </c>
      <c r="D58" s="314" t="s">
        <v>2092</v>
      </c>
      <c r="E58" s="166">
        <f>IF($C58='Auto Responses'!$J$3,VLOOKUP($A58,Questions!$A$2:$X$333,17,0)&amp;"",IF($C58='Auto Responses'!$J$4,VLOOKUP($A58,Questions!$A$2:$X$333,16,0)&amp;"",VLOOKUP($A58,Questions!$A$2:$X$333,15,0)&amp;""))</f>
      </c>
      <c r="F58" s="200">
        <f>VLOOKUP($A58,'Institution Evaluation'!$A$56:$F$345,6,0)&amp;""</f>
      </c>
      <c r="I58" s="35"/>
      <c r="J58" s="35"/>
    </row>
    <row r="59" spans="1:10" s="1" customFormat="1" ht="47.25" customHeight="1" x14ac:dyDescent="0.15">
      <c r="A59" s="19" t="s">
        <v>520</v>
      </c>
      <c r="B59" s="18">
        <f>VLOOKUP($A59,Questions!$A$2:$X$333,2,0)</f>
      </c>
      <c r="C59" s="21" t="inlineStr">
        <is>
          <t xml:space="preserve">Yes</t>
        </is>
      </c>
      <c r="D59" s="314" t="inlineStr">
        <is>
          <t xml:space="preserve">New team members sign a confidentiality agreement and an acceptable-use acknowledgment of Edugator's policies before receiving access (Information Security Policy §9).</t>
        </is>
      </c>
      <c r="E59" s="166">
        <f>IF($C59='Auto Responses'!$J$3,VLOOKUP($A59,Questions!$A$2:$X$333,17,0)&amp;"",IF($C59='Auto Responses'!$J$4,VLOOKUP($A59,Questions!$A$2:$X$333,16,0)&amp;"",VLOOKUP($A59,Questions!$A$2:$X$333,15,0)&amp;""))</f>
      </c>
      <c r="F59" s="200">
        <f>VLOOKUP($A59,'Institution Evaluation'!$A$56:$F$345,6,0)&amp;""</f>
      </c>
      <c r="I59" s="35"/>
      <c r="J59" s="35"/>
    </row>
    <row r="60" spans="1:10" s="1" customFormat="1" ht="46.5" customHeight="1" x14ac:dyDescent="0.15">
      <c r="A60" s="19" t="s">
        <v>522</v>
      </c>
      <c r="B60" s="18">
        <f>VLOOKUP($A60,Questions!$A$2:$X$333,2,0)</f>
      </c>
      <c r="C60" s="21" t="inlineStr">
        <is>
          <t xml:space="preserve">Yes</t>
        </is>
      </c>
      <c r="D60" s="314" t="inlineStr">
        <is>
          <t xml:space="preserve">Edugator internal policies (available on request): Information Security Policy, owned by Marc Diaz (Founder), reviewed annually.</t>
        </is>
      </c>
      <c r="E60" s="166">
        <f>IF($C60='Auto Responses'!$J$3,VLOOKUP($A60,Questions!$A$2:$X$333,17,0)&amp;"",IF($C60='Auto Responses'!$J$4,VLOOKUP($A60,Questions!$A$2:$X$333,16,0)&amp;"",VLOOKUP($A60,Questions!$A$2:$X$333,15,0)&amp;""))</f>
      </c>
      <c r="F60" s="200">
        <f>VLOOKUP($A60,'Institution Evaluation'!$A$56:$F$345,6,0)&amp;""</f>
      </c>
      <c r="I60" s="35"/>
      <c r="J60" s="35"/>
    </row>
    <row r="61" spans="1:10" s="1" customFormat="1" ht="48" customHeight="1" x14ac:dyDescent="0.15">
      <c r="A61" s="19" t="s">
        <v>526</v>
      </c>
      <c r="B61" s="18">
        <f>VLOOKUP($A61,Questions!$A$2:$X$333,2,0)</f>
      </c>
      <c r="C61" s="21" t="inlineStr">
        <is>
          <t xml:space="preserve">Yes</t>
        </is>
      </c>
      <c r="D61" s="314" t="inlineStr">
        <is>
          <t xml:space="preserve">Security requirements are part of design and code review (Information Security Policy §6 and Change and Patch Management §1): authentication on every route, course- and role-scoped authorization, parameterized queries, no sensitive data in logs, TLS everywhere.</t>
        </is>
      </c>
      <c r="E61" s="166">
        <f>IF($C61='Auto Responses'!$J$3,VLOOKUP($A61,Questions!$A$2:$X$333,17,0)&amp;"",IF($C61='Auto Responses'!$J$4,VLOOKUP($A61,Questions!$A$2:$X$333,16,0)&amp;"",VLOOKUP($A61,Questions!$A$2:$X$333,15,0)&amp;""))</f>
      </c>
      <c r="F61" s="200">
        <f>VLOOKUP($A61,'Institution Evaluation'!$A$56:$F$345,6,0)&amp;""</f>
      </c>
      <c r="I61" s="35"/>
      <c r="J61" s="35"/>
    </row>
    <row r="62" spans="1:10" s="1" customFormat="1" ht="28.5" customHeight="1" x14ac:dyDescent="0.15">
      <c r="A62" s="19" t="s">
        <v>531</v>
      </c>
      <c r="B62" s="18">
        <f>VLOOKUP($A62,Questions!$A$2:$X$333,2,0)</f>
      </c>
      <c r="C62" s="21" t="s">
        <v>40</v>
      </c>
      <c r="D62" s="314"/>
      <c r="E62" s="166" t="str">
        <f>IF($C62='Auto Responses'!$J$3,VLOOKUP($A62,Questions!$A$2:$X$333,17,0)&amp;"",IF($C62='Auto Responses'!$J$4,VLOOKUP($A62,Questions!$A$2:$X$333,16,0)&amp;"",VLOOKUP($A62,Questions!$A$2:$X$333,15,0)&amp;""))</f>
      </c>
      <c r="F62" s="200">
        <f>VLOOKUP($A62,'Institution Evaluation'!$A$56:$F$345,6,0)&amp;""</f>
      </c>
      <c r="I62" s="35"/>
      <c r="J62" s="35"/>
    </row>
    <row r="63" spans="1:10" s="1" customFormat="1" ht="28.5" customHeight="1" x14ac:dyDescent="0.15">
      <c r="A63" s="19" t="s">
        <v>535</v>
      </c>
      <c r="B63" s="18">
        <f>VLOOKUP($A63,Questions!$A$2:$X$333,2,0)</f>
      </c>
      <c r="C63" s="21" t="inlineStr">
        <is>
          <t xml:space="preserve">Yes</t>
        </is>
      </c>
      <c r="D63" s="314" t="inlineStr">
        <is>
          <t xml:space="preserve">Security awareness training at onboarding and annually, covering phishing, credential/MFA hygiene, FERPA data handling, privacy, responsible AI use and incident reporting (Information Security Policy §8).</t>
        </is>
      </c>
      <c r="E63" s="166">
        <f>IF($C63='Auto Responses'!$J$3,VLOOKUP($A63,Questions!$A$2:$X$333,17,0)&amp;"",IF($C63='Auto Responses'!$J$4,VLOOKUP($A63,Questions!$A$2:$X$333,16,0)&amp;"",VLOOKUP($A63,Questions!$A$2:$X$333,15,0)&amp;""))</f>
      </c>
      <c r="F63" s="200">
        <f>VLOOKUP($A63,'Institution Evaluation'!$A$56:$F$345,6,0)&amp;""</f>
      </c>
      <c r="I63" s="35"/>
      <c r="J63" s="35"/>
    </row>
    <row r="64" spans="1:10" s="1" customFormat="1" ht="28.5" customHeight="1" x14ac:dyDescent="0.15">
      <c r="A64" s="19" t="s">
        <v>540</v>
      </c>
      <c r="B64" s="18">
        <f>VLOOKUP($A64,Questions!$A$2:$X$333,2,0)</f>
      </c>
      <c r="C64" s="21" t="inlineStr">
        <is>
          <t xml:space="preserve">Yes</t>
        </is>
      </c>
      <c r="D64" s="314" t="inlineStr">
        <is>
          <t xml:space="preserve">Mandatory for all team members at onboarding and annually; completion is recorded (Information Security Policy §8).</t>
        </is>
      </c>
      <c r="E64" s="166">
        <f>IF($C64='Auto Responses'!$J$3,VLOOKUP($A64,Questions!$A$2:$X$333,17,0)&amp;"",IF($C64='Auto Responses'!$J$4,VLOOKUP($A64,Questions!$A$2:$X$333,16,0)&amp;"",VLOOKUP($A64,Questions!$A$2:$X$333,15,0)&amp;""))</f>
      </c>
      <c r="F64" s="200">
        <f>VLOOKUP($A64,'Institution Evaluation'!$A$56:$F$345,6,0)&amp;""</f>
      </c>
      <c r="I64" s="35"/>
      <c r="J64" s="35"/>
    </row>
    <row r="65" spans="1:10" s="1" customFormat="1" ht="54" customHeight="1" x14ac:dyDescent="0.15">
      <c r="A65" s="19" t="s">
        <v>544</v>
      </c>
      <c r="B65" s="18">
        <f>VLOOKUP($A65,Questions!$A$2:$X$333,2,0)</f>
      </c>
      <c r="C65" s="21" t="inlineStr">
        <is>
          <t xml:space="preserve">Yes</t>
        </is>
      </c>
      <c r="D65" s="314" t="inlineStr">
        <is>
          <t xml:space="preserve">Quarterly review of the access register for every system, with removals recorded (Information Security Policy §4).</t>
        </is>
      </c>
      <c r="E65" s="166">
        <f>IF($C65='Auto Responses'!$J$3,VLOOKUP($A65,Questions!$A$2:$X$333,17,0)&amp;"",IF($C65='Auto Responses'!$J$4,VLOOKUP($A65,Questions!$A$2:$X$333,16,0)&amp;"",VLOOKUP($A65,Questions!$A$2:$X$333,15,0)&amp;""))</f>
      </c>
      <c r="F65" s="200">
        <f>VLOOKUP($A65,'Institution Evaluation'!$A$56:$F$345,6,0)&amp;""</f>
      </c>
      <c r="I65" s="35"/>
      <c r="J65" s="35"/>
    </row>
    <row r="66" spans="1:10" s="1" customFormat="1" ht="34.5" customHeight="1" x14ac:dyDescent="0.15">
      <c r="A66" s="19" t="s">
        <v>548</v>
      </c>
      <c r="B66" s="18">
        <f>VLOOKUP($A66,Questions!$A$2:$X$333,2,0)</f>
      </c>
      <c r="C66" s="21" t="inlineStr">
        <is>
          <t xml:space="preserve">Yes</t>
        </is>
      </c>
      <c r="D66" s="314" t="inlineStr">
        <is>
          <t xml:space="preserve">Annual internal review of policies, access, vendor list, MFA and device settings, plus the BC/DR restore test and an incident-response tabletop, with findings recorded (Information Security Policy §10).</t>
        </is>
      </c>
      <c r="E66" s="166">
        <f>IF($C66='Auto Responses'!$J$3,VLOOKUP($A66,Questions!$A$2:$X$333,17,0)&amp;"",IF($C66='Auto Responses'!$J$4,VLOOKUP($A66,Questions!$A$2:$X$333,16,0)&amp;"",VLOOKUP($A66,Questions!$A$2:$X$333,15,0)&amp;""))</f>
      </c>
      <c r="F66" s="200">
        <f>VLOOKUP($A66,'Institution Evaluation'!$A$56:$F$345,6,0)&amp;""</f>
      </c>
      <c r="I66" s="35"/>
      <c r="J66" s="35"/>
    </row>
    <row r="67" spans="1:10" s="1" customFormat="1" ht="39" customHeight="1" x14ac:dyDescent="0.15">
      <c r="A67" s="19" t="s">
        <v>553</v>
      </c>
      <c r="B67" s="18">
        <f>VLOOKUP($A67,Questions!$A$2:$X$333,2,0)</f>
      </c>
      <c r="C67" s="21" t="s">
        <v>1525</v>
      </c>
      <c r="D67" s="314" t="s">
        <v>1955</v>
      </c>
      <c r="E67" s="166">
        <f>IF($C67='Auto Responses'!$J$3,VLOOKUP($A67,Questions!$A$2:$X$333,17,0)&amp;"",IF($C67='Auto Responses'!$J$4,VLOOKUP($A67,Questions!$A$2:$X$333,16,0)&amp;"",IF($C67='Auto Responses'!$J$5,VLOOKUP($A67,Questions!$A$2:$X$333,18,0)&amp;"",VLOOKUP($A67,Questions!$A$2:$X$333,15,0)&amp;"")))</f>
      </c>
      <c r="F67" s="200">
        <f>VLOOKUP($A67,'Institution Evaluation'!$A$56:$F$345,6,0)&amp;""</f>
      </c>
      <c r="G67" s="235" t="s">
        <v>1448</v>
      </c>
      <c r="H67" s="35"/>
    </row>
    <row r="68" spans="1:10" s="170" customFormat="1" ht="39" customHeight="1" x14ac:dyDescent="0.15">
      <c r="A68" s="262" t="s">
        <v>1505</v>
      </c>
      <c r="B68" s="248"/>
      <c r="C68" s="249"/>
      <c r="D68" s="315"/>
      <c r="E68" s="251"/>
      <c r="F68" s="252"/>
      <c r="G68" s="253"/>
      <c r="H68" s="171"/>
    </row>
    <row r="69" spans="1:10" s="1" customFormat="1" ht="15" customHeight="1" x14ac:dyDescent="0.15">
      <c r="A69" s="261"/>
      <c r="C69" s="8"/>
      <c r="D69" s="9"/>
      <c r="E69" s="10"/>
      <c r="I69" s="35"/>
      <c r="J69" s="35"/>
    </row>
    <row r="70" spans="1:10" s="1" customFormat="1" ht="15" hidden="1" customHeight="1" x14ac:dyDescent="0.15">
      <c r="A70"/>
      <c r="C70" s="8"/>
      <c r="D70" s="9"/>
      <c r="E70" s="10"/>
      <c r="I70" s="35"/>
      <c r="J70" s="35"/>
    </row>
    <row r="71" spans="1:10" ht="57" hidden="1" customHeight="1" x14ac:dyDescent="0.15">
      <c r="A71" s="19" t="e">
        <f>#REF!</f>
      </c>
    </row>
    <row r="72" spans="1:10" ht="42.75" hidden="1" customHeight="1" x14ac:dyDescent="0.15">
      <c r="A72" s="19">
        <f>#REF!</f>
      </c>
    </row>
    <row r="73" spans="1:10" ht="15" hidden="1" customHeight="1" x14ac:dyDescent="0.15">
      <c r="A73" s="19">
        <f>#REF!</f>
      </c>
    </row>
    <row r="74" spans="1:10" ht="15" hidden="1" customHeight="1" x14ac:dyDescent="0.15">
      <c r="A74" s="19">
        <f>#REF!</f>
      </c>
    </row>
    <row r="75" spans="1:10" ht="15" hidden="1" customHeight="1" x14ac:dyDescent="0.15">
      <c r="A75" s="19">
        <f>#REF!</f>
      </c>
    </row>
    <row r="76" spans="1:10" ht="15" hidden="1" customHeight="1" x14ac:dyDescent="0.15">
      <c r="A76" s="19">
        <f>#REF!</f>
      </c>
    </row>
    <row r="77" spans="1:10" ht="15" hidden="1" customHeight="1" x14ac:dyDescent="0.15">
      <c r="A77" s="19">
        <f>#REF!</f>
      </c>
    </row>
    <row r="78" spans="1:10" ht="15" hidden="1" customHeight="1" x14ac:dyDescent="0.15"/>
    <row r="79" spans="1:10" ht="15" hidden="1" customHeight="1" x14ac:dyDescent="0.15"/>
    <row r="80" spans="1:10" ht="15" hidden="1" customHeight="1" x14ac:dyDescent="0.15"/>
    <row r="81" ht="15" hidden="1" customHeight="1" x14ac:dyDescent="0.15"/>
    <row r="82" ht="15" hidden="1" customHeight="1" x14ac:dyDescent="0.15"/>
    <row r="83" ht="15" hidden="1" customHeight="1" x14ac:dyDescent="0.15"/>
    <row r="84" ht="15" hidden="1" customHeight="1" x14ac:dyDescent="0.15"/>
    <row r="85" ht="15" hidden="1" customHeight="1" x14ac:dyDescent="0.15"/>
    <row r="86" ht="15" hidden="1" customHeight="1" x14ac:dyDescent="0.15"/>
    <row r="87" ht="15" hidden="1" customHeight="1" x14ac:dyDescent="0.15"/>
    <row r="88" ht="15" hidden="1" customHeight="1" x14ac:dyDescent="0.15"/>
    <row r="89" ht="15" hidden="1" customHeight="1" x14ac:dyDescent="0.15"/>
    <row r="90" ht="15" hidden="1" customHeight="1" x14ac:dyDescent="0.15"/>
    <row r="91" ht="15" hidden="1" customHeight="1" x14ac:dyDescent="0.15"/>
    <row r="92" ht="15" hidden="1" customHeight="1" x14ac:dyDescent="0.15"/>
    <row r="93" ht="15" hidden="1" customHeight="1" x14ac:dyDescent="0.15"/>
    <row r="94" ht="15" hidden="1" customHeight="1" x14ac:dyDescent="0.15"/>
    <row r="95" ht="15" hidden="1" customHeight="1" x14ac:dyDescent="0.15"/>
    <row r="96" ht="15" hidden="1" customHeight="1" x14ac:dyDescent="0.15"/>
    <row r="97" ht="15" hidden="1" customHeight="1" x14ac:dyDescent="0.15"/>
    <row r="98" ht="15" hidden="1" customHeight="1" x14ac:dyDescent="0.15"/>
    <row r="99" ht="15" hidden="1" customHeight="1" x14ac:dyDescent="0.15"/>
    <row r="100" ht="15" hidden="1" customHeight="1" x14ac:dyDescent="0.15"/>
    <row r="101" ht="15" hidden="1" customHeight="1" x14ac:dyDescent="0.15"/>
    <row r="102" ht="15" hidden="1" customHeight="1" x14ac:dyDescent="0.15"/>
    <row r="103" ht="15" hidden="1" customHeight="1" x14ac:dyDescent="0.15"/>
    <row r="104" ht="15" hidden="1" customHeight="1" x14ac:dyDescent="0.15"/>
    <row r="105" ht="15" hidden="1" customHeight="1" x14ac:dyDescent="0.15"/>
    <row r="106" ht="15" hidden="1" customHeight="1" x14ac:dyDescent="0.15"/>
    <row r="107" ht="15" hidden="1" customHeight="1" x14ac:dyDescent="0.15"/>
    <row r="108" ht="15" hidden="1" customHeight="1" x14ac:dyDescent="0.15"/>
    <row r="109" ht="15" hidden="1" customHeight="1" x14ac:dyDescent="0.15"/>
    <row r="110" ht="15" hidden="1" customHeight="1" x14ac:dyDescent="0.15"/>
    <row r="111" ht="15" hidden="1" customHeight="1" x14ac:dyDescent="0.15"/>
    <row r="112" ht="15" hidden="1" customHeight="1" x14ac:dyDescent="0.15"/>
  </sheetData>
  <phoneticPr fontId="31" type="noConversion"/>
  <dataValidations count="2">
    <dataValidation allowBlank="1" showInputMessage="1" showErrorMessage="1" promptTitle="Warning!" prompt="The HECVAT is built using a number of complex formulas. Editing this cell can break the functionality of the tool. " sqref="C2:F2 C52:D52 A3:A68 C21 D21:D29 C5:F12 D3:F3 B2:B68 C29 C35:D35 E21:F67"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For full instructions, please visit the HECVAT website." xr:uid="{5A6938A9-739E-4A03-A861-C791D26D035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BB38F01-8950-47A1-A9D6-AA20F3133A43}">
          <x14:formula1>
            <xm:f>'Auto Responses'!$J$3:$J$4</xm:f>
          </x14:formula1>
          <xm:sqref>C68 C36 C34 C22:C28 C53:C66 C39:C43 C48:C51</xm:sqref>
        </x14:dataValidation>
        <x14:dataValidation type="list" allowBlank="1" showInputMessage="1" showErrorMessage="1" xr:uid="{12770314-EF29-47D1-BA99-D96AA2142FEA}">
          <x14:formula1>
            <xm:f>'Auto Responses'!$J$3:$J$5</xm:f>
          </x14:formula1>
          <xm:sqref>C30:C33 C37:C38 C67 C44:C47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57" zoomScale="80" zoomScaleNormal="80" workbookViewId="0">
      <selection activeCell="C29" sqref="C29"/>
    </sheetView>
  </sheetViews>
  <sheetFormatPr baseColWidth="10" defaultColWidth="0" defaultRowHeight="0" customHeight="1" zeroHeight="1" x14ac:dyDescent="0.15"/>
  <cols>
    <col min="1" max="1" width="8.25" customWidth="1"/>
    <col min="2" max="2" width="55.125" style="1" customWidth="1"/>
    <col min="3" max="3" width="19.875" style="8" customWidth="1"/>
    <col min="4" max="4" width="55.625" style="9" customWidth="1"/>
    <col min="5" max="5" width="32" style="10" customWidth="1"/>
    <col min="6" max="6" width="30.625" style="1" customWidth="1"/>
    <col min="7" max="7" width="18.125" style="1" customWidth="1"/>
    <col min="8" max="8" width="18.125" style="1" hidden="1" customWidth="1"/>
    <col min="9" max="10" width="18.125" style="35" hidden="1" customWidth="1"/>
    <col min="11" max="11" width="4.5" style="1" hidden="1" customWidth="1"/>
    <col min="12" max="12" width="6.625" style="1" hidden="1" customWidth="1"/>
    <col min="13" max="16384" width="6.625" hidden="1"/>
  </cols>
  <sheetData>
    <row r="1" spans="1:10" ht="0" hidden="1" customHeight="1" x14ac:dyDescent="0.15">
      <c r="A1" t="s">
        <v>1447</v>
      </c>
    </row>
    <row r="2" spans="1:10" ht="36" customHeight="1" x14ac:dyDescent="0.15">
      <c r="A2" s="167" t="s">
        <v>1375</v>
      </c>
      <c r="B2" s="167"/>
      <c r="C2" s="168"/>
      <c r="D2" s="302"/>
      <c r="E2" s="169"/>
      <c r="F2" s="169" t="str">
        <f>'Auto Responses'!$A$36</f>
      </c>
      <c r="J2" s="1"/>
    </row>
    <row r="3" spans="1:10" s="1" customFormat="1" ht="29.25" customHeight="1" x14ac:dyDescent="0.15">
      <c r="A3" s="37" t="s">
        <v>940</v>
      </c>
      <c r="B3" s="38"/>
      <c r="C3" s="66">
        <f>'START HERE'!$C$3</f>
      </c>
      <c r="D3" s="303"/>
      <c r="E3" s="36"/>
      <c r="F3" s="50"/>
      <c r="I3" s="35"/>
    </row>
    <row r="4" spans="1:10" s="1" customFormat="1" ht="36" customHeight="1" x14ac:dyDescent="0.15">
      <c r="A4" s="11" t="s">
        <v>865</v>
      </c>
      <c r="B4" s="12"/>
      <c r="C4" s="13"/>
      <c r="D4" s="14"/>
      <c r="E4" s="15"/>
      <c r="F4" s="15"/>
      <c r="I4" s="35"/>
    </row>
    <row r="5" spans="1:10" s="1" customFormat="1" ht="19.5" customHeight="1" x14ac:dyDescent="0.15">
      <c r="A5" s="42" t="str">
        <f>HLOOKUP($A$4,'Auto Responses'!$D$2:$D$8,2,0)&amp;""</f>
      </c>
      <c r="B5" s="16"/>
      <c r="C5" s="67"/>
      <c r="D5" s="304"/>
      <c r="E5" s="16"/>
      <c r="F5" s="16"/>
      <c r="I5" s="35"/>
    </row>
    <row r="6" spans="1:10" s="1" customFormat="1" ht="19.5" customHeight="1" x14ac:dyDescent="0.15">
      <c r="A6" s="42" t="str">
        <f>HLOOKUP($A$4,'Auto Responses'!$D$2:$D$8,3,0)&amp;""</f>
      </c>
      <c r="B6" s="16"/>
      <c r="C6" s="67"/>
      <c r="D6" s="304"/>
      <c r="E6" s="16"/>
      <c r="F6" s="16"/>
      <c r="I6" s="35"/>
    </row>
    <row r="7" spans="1:10"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16"/>
      <c r="I7" s="35"/>
    </row>
    <row r="8" spans="1:10" s="1" customFormat="1" ht="19.5" customHeight="1" x14ac:dyDescent="0.15">
      <c r="A8" s="42" t="str">
        <f>HLOOKUP($A$4,'Auto Responses'!$D$2:$D$8,5,0)&amp;""</f>
      </c>
      <c r="B8" s="16"/>
      <c r="C8" s="67"/>
      <c r="D8" s="304"/>
      <c r="E8" s="16"/>
      <c r="F8" s="16"/>
      <c r="I8" s="35"/>
    </row>
    <row r="9" spans="1:10" s="1" customFormat="1" ht="19.5" customHeight="1" x14ac:dyDescent="0.15">
      <c r="A9" s="42" t="str">
        <f>HLOOKUP($A$4,'Auto Responses'!$D$2:$D$8,6,0)&amp;""</f>
      </c>
      <c r="B9" s="16"/>
      <c r="C9" s="67"/>
      <c r="D9" s="304"/>
      <c r="E9" s="16"/>
      <c r="F9" s="16"/>
      <c r="I9" s="35"/>
    </row>
    <row r="10" spans="1:10" s="1" customFormat="1" ht="19.5" customHeight="1" x14ac:dyDescent="0.15">
      <c r="A10" s="243" t="str">
        <f>HLOOKUP($A$4,'Auto Responses'!$D$2:$D$8,7,0)&amp;""</f>
      </c>
      <c r="B10" s="16"/>
      <c r="C10" s="67"/>
      <c r="D10" s="304"/>
      <c r="E10" s="16"/>
      <c r="F10" s="16"/>
      <c r="I10" s="35"/>
    </row>
    <row r="11" spans="1:10" s="1" customFormat="1" ht="19.5" customHeight="1" x14ac:dyDescent="0.15">
      <c r="A11" s="360" t="str">
        <f>HLOOKUP($A$4,'Auto Responses'!$D$2:$D$9,8,0)&amp;""</f>
      </c>
      <c r="B11" s="16"/>
      <c r="C11" s="67"/>
      <c r="D11" s="304"/>
      <c r="E11" s="16"/>
      <c r="F11" s="16"/>
      <c r="I11" s="35"/>
    </row>
    <row r="12" spans="1:10" s="1" customFormat="1" ht="36" customHeight="1" x14ac:dyDescent="0.15">
      <c r="A12" s="63" t="str">
        <f>VLOOKUP(LEFT($A13,4),'Auto Responses'!$N$4:$O$38,2,0)&amp;""</f>
        <v xml:space="preserve"> General Information</v>
      </c>
      <c r="B12" s="12"/>
      <c r="C12" s="13" t="s">
        <v>1495</v>
      </c>
      <c r="D12" s="305"/>
      <c r="E12" s="17"/>
      <c r="F12" s="17"/>
      <c r="I12" s="35"/>
      <c r="J12" s="35"/>
    </row>
    <row r="13" spans="1:10" s="1" customFormat="1" ht="22.5" customHeight="1" x14ac:dyDescent="0.15">
      <c r="A13" s="19" t="s">
        <v>21</v>
      </c>
      <c r="B13" s="20">
        <f>VLOOKUP($A13,Questions!$A$2:$X$333,2,0)&amp;""</f>
      </c>
      <c r="C13" s="75">
        <f>VLOOKUP($A13,'START HERE'!$A$13:$C$21,3,0)&amp;""</f>
      </c>
      <c r="D13" s="32"/>
      <c r="E13" s="32"/>
      <c r="F13" s="50"/>
      <c r="I13" s="35"/>
      <c r="J13" s="35"/>
    </row>
    <row r="14" spans="1:10" s="1" customFormat="1" ht="22.5" customHeight="1" x14ac:dyDescent="0.15">
      <c r="A14" s="19" t="s">
        <v>24</v>
      </c>
      <c r="B14" s="20">
        <f>VLOOKUP($A14,Questions!$A$2:$X$333,2,0)&amp;""</f>
      </c>
      <c r="C14" s="75">
        <f>VLOOKUP($A14,'START HERE'!$A$13:$C$21,3,0)&amp;""</f>
      </c>
      <c r="D14" s="32"/>
      <c r="E14" s="32"/>
      <c r="F14" s="50"/>
      <c r="I14" s="35"/>
      <c r="J14" s="35"/>
    </row>
    <row r="15" spans="1:10" s="1" customFormat="1" ht="22.5" customHeight="1" x14ac:dyDescent="0.15">
      <c r="A15" s="19" t="s">
        <v>25</v>
      </c>
      <c r="B15" s="20">
        <f>VLOOKUP($A15,Questions!$A$2:$X$333,2,0)&amp;""</f>
      </c>
      <c r="C15" s="75">
        <f>VLOOKUP($A15,'START HERE'!$A$13:$C$21,3,0)&amp;""</f>
      </c>
      <c r="D15" s="32"/>
      <c r="E15" s="32"/>
      <c r="F15" s="50"/>
      <c r="I15" s="35"/>
      <c r="J15" s="35"/>
    </row>
    <row r="16" spans="1:10" s="1" customFormat="1" ht="22.5" customHeight="1" thickBot="1" x14ac:dyDescent="0.2">
      <c r="A16" s="19" t="s">
        <v>30</v>
      </c>
      <c r="B16" s="20">
        <f>VLOOKUP($A16,Questions!$A$2:$X$333,2,0)&amp;""</f>
      </c>
      <c r="C16" s="75">
        <f>VLOOKUP($A16,'START HERE'!$A$13:$C$21,3,0)&amp;""</f>
      </c>
      <c r="D16" s="32"/>
      <c r="E16" s="32"/>
      <c r="F16" s="50"/>
      <c r="I16" s="35"/>
      <c r="J16" s="35"/>
    </row>
    <row r="17" spans="1:10" s="1" customFormat="1" ht="37.5" customHeight="1" thickBot="1" x14ac:dyDescent="0.2">
      <c r="A17" s="63" t="str">
        <f>VLOOKUP(LEFT($A18,4),'Auto Responses'!$N$4:$O$38,2,0)&amp;""</f>
        <v xml:space="preserve"> Required Questions</v>
      </c>
      <c r="B17" s="22"/>
      <c r="C17" s="13" t="s">
        <v>1495</v>
      </c>
      <c r="D17" s="13"/>
      <c r="E17" s="31" t="s">
        <v>848</v>
      </c>
      <c r="F17" s="186" t="s">
        <v>849</v>
      </c>
      <c r="I17" s="35"/>
      <c r="J17" s="35"/>
    </row>
    <row r="18" spans="1:10" s="1" customFormat="1" ht="31" thickBot="1" x14ac:dyDescent="0.2">
      <c r="A18" s="19" t="s">
        <v>48</v>
      </c>
      <c r="B18" s="18">
        <f>VLOOKUP($A18,Questions!$A$2:$X$333,2,0)</f>
      </c>
      <c r="C18" s="71">
        <f>VLOOKUP($A18,'START HERE'!$A$23:$F$36,3,0)&amp;""</f>
      </c>
      <c r="D18" s="306">
        <f>VLOOKUP($A18,'START HERE'!$A$23:$F$36,4,0)&amp;""</f>
      </c>
      <c r="E18" s="166">
        <f>IF($C18='Auto Responses'!$J$3,VLOOKUP($A18,Questions!$A$2:$X$333,17,0)&amp;"",IF($C18='Auto Responses'!$J$4,VLOOKUP($A18,Questions!$A$2:$X$333,16,0)&amp;"",VLOOKUP($A18,Questions!$A$2:$X$333,15,0)&amp;""))</f>
      </c>
      <c r="F18" s="200">
        <f>VLOOKUP($A18,'Institution Evaluation'!$A$56:$F$345,6,0)&amp;""</f>
      </c>
      <c r="G18" s="235" t="s">
        <v>1448</v>
      </c>
      <c r="I18" s="35"/>
      <c r="J18" s="35"/>
    </row>
    <row r="19" spans="1:10" s="1" customFormat="1" ht="37.5" customHeight="1" thickBot="1" x14ac:dyDescent="0.2">
      <c r="A19" s="63" t="str">
        <f>VLOOKUP(LEFT($A20,4),'Auto Responses'!$N$4:$O$38,2,0)&amp;""</f>
        <v xml:space="preserve"> Authentication, Authorization, and Account Management</v>
      </c>
      <c r="B19" s="22"/>
      <c r="C19" s="13" t="s">
        <v>1495</v>
      </c>
      <c r="D19" s="13" t="s">
        <v>72</v>
      </c>
      <c r="E19" s="31" t="s">
        <v>848</v>
      </c>
      <c r="F19" s="186" t="s">
        <v>849</v>
      </c>
      <c r="I19" s="35"/>
      <c r="J19" s="35"/>
    </row>
    <row r="20" spans="1:10" s="1" customFormat="1" ht="97.5" customHeight="1" x14ac:dyDescent="0.15">
      <c r="A20" s="19" t="s">
        <v>216</v>
      </c>
      <c r="B20" s="18">
        <f>VLOOKUP($A20,Questions!$A$2:$X$333,2,0)</f>
      </c>
      <c r="C20" s="21" t="inlineStr">
        <is>
          <t xml:space="preserve">Yes</t>
        </is>
      </c>
      <c r="D20" s="307" t="inlineStr">
        <is>
          <t xml:space="preserve">SAML 2.0 enterprise SSO via Clerk, and LTI 1.3 launch from Canvas.</t>
        </is>
      </c>
      <c r="E20" s="166">
        <f>IF($C$18='Auto Responses'!$J$4,'Auto Responses'!$A$3,IF($C20='Auto Responses'!$J$3,VLOOKUP($A20,Questions!$A$2:$X$333,17,0)&amp;"",IF($C20='Auto Responses'!$J$4,VLOOKUP($A20,Questions!$A$2:$X$333,16,0)&amp;"",VLOOKUP($A20,Questions!$A$2:$X$333,15,0)&amp;"")))</f>
      </c>
      <c r="F20" s="200">
        <f>VLOOKUP($A20,'Institution Evaluation'!$A$56:$F$345,6,0)&amp;""</f>
      </c>
      <c r="I20" s="35"/>
      <c r="J20" s="35"/>
    </row>
    <row r="21" spans="1:10" s="1" customFormat="1" ht="45.75" customHeight="1" x14ac:dyDescent="0.15">
      <c r="A21" s="19" t="s">
        <v>221</v>
      </c>
      <c r="B21" s="18">
        <f>VLOOKUP($A21,Questions!$A$2:$X$333,2,0)</f>
      </c>
      <c r="C21" s="21" t="s">
        <v>40</v>
      </c>
      <c r="D21" s="307" t="s">
        <v>1957</v>
      </c>
      <c r="E21" s="166">
        <f>IF($C21='Auto Responses'!$J$3,VLOOKUP($A21,Questions!$A$2:$X$333,17,0)&amp;"",IF($C21='Auto Responses'!$J$4,VLOOKUP($A21,Questions!$A$2:$X$333,16,0)&amp;"",IF($C21='Auto Responses'!$J$5,VLOOKUP($A21,Questions!$A$2:$X$333,18,0)&amp;"",VLOOKUP($A21,Questions!$A$2:$X$333,15,0)&amp;"")))</f>
      </c>
      <c r="F21" s="200">
        <f>VLOOKUP($A21,'Institution Evaluation'!$A$56:$F$345,6,0)&amp;""</f>
      </c>
      <c r="I21" s="35"/>
      <c r="J21" s="35"/>
    </row>
    <row r="22" spans="1:10" s="1" customFormat="1" ht="48" customHeight="1" x14ac:dyDescent="0.15">
      <c r="A22" s="19" t="s">
        <v>225</v>
      </c>
      <c r="B22" s="18">
        <f>VLOOKUP($A22,Questions!$A$2:$X$333,2,0)</f>
      </c>
      <c r="C22" s="21" t="s">
        <v>40</v>
      </c>
      <c r="D22" s="307" t="s">
        <v>1958</v>
      </c>
      <c r="E22" s="166">
        <f>IF($C22='Auto Responses'!$J$3,VLOOKUP($A22,Questions!$A$2:$X$333,17,0)&amp;"",IF($C22='Auto Responses'!$J$4,VLOOKUP($A22,Questions!$A$2:$X$333,16,0)&amp;"",IF($C22='Auto Responses'!$J$5,VLOOKUP($A22,Questions!$A$2:$X$333,18,0)&amp;"",VLOOKUP($A22,Questions!$A$2:$X$333,15,0)&amp;"")))</f>
      </c>
      <c r="F22" s="200">
        <f>VLOOKUP($A22,'Institution Evaluation'!$A$56:$F$345,6,0)&amp;""</f>
      </c>
      <c r="I22" s="35"/>
      <c r="J22" s="35"/>
    </row>
    <row r="23" spans="1:10" s="1" customFormat="1" ht="72" customHeight="1" x14ac:dyDescent="0.15">
      <c r="A23" s="19" t="s">
        <v>226</v>
      </c>
      <c r="B23" s="18">
        <f>VLOOKUP($A23,Questions!$A$2:$X$333,2,0)</f>
      </c>
      <c r="C23" s="21" t="s">
        <v>40</v>
      </c>
      <c r="D23" s="307" t="s">
        <v>1959</v>
      </c>
      <c r="E23" s="166">
        <f>IF($C23='Auto Responses'!$J$3,VLOOKUP($A23,Questions!$A$2:$X$333,17,0)&amp;"",IF($C23='Auto Responses'!$J$4,VLOOKUP($A23,Questions!$A$2:$X$333,16,0)&amp;"",IF($C23='Auto Responses'!$J$5,VLOOKUP($A23,Questions!$A$2:$X$333,18,0)&amp;"",VLOOKUP($A23,Questions!$A$2:$X$333,15,0)&amp;"")))</f>
      </c>
      <c r="F23" s="200">
        <f>VLOOKUP($A23,'Institution Evaluation'!$A$56:$F$345,6,0)&amp;""</f>
      </c>
      <c r="I23" s="35"/>
      <c r="J23" s="35"/>
    </row>
    <row r="24" spans="1:10" s="1" customFormat="1" ht="73.5" customHeight="1" x14ac:dyDescent="0.15">
      <c r="A24" s="19" t="s">
        <v>230</v>
      </c>
      <c r="B24" s="18">
        <f>VLOOKUP($A24,Questions!$A$2:$X$333,2,0)</f>
      </c>
      <c r="C24" s="21" t="s">
        <v>40</v>
      </c>
      <c r="D24" s="307" t="s">
        <v>1960</v>
      </c>
      <c r="E24" s="166">
        <f>IF($C24='Auto Responses'!$J$3,VLOOKUP($A24,Questions!$A$2:$X$333,17,0)&amp;"",IF($C24='Auto Responses'!$J$4,VLOOKUP($A24,Questions!$A$2:$X$333,16,0)&amp;"",IF($C24='Auto Responses'!$J$5,VLOOKUP($A24,Questions!$A$2:$X$333,18,0)&amp;"",VLOOKUP($A24,Questions!$A$2:$X$333,15,0)&amp;"")))</f>
      </c>
      <c r="F24" s="200">
        <f>VLOOKUP($A24,'Institution Evaluation'!$A$56:$F$345,6,0)&amp;""</f>
      </c>
      <c r="H24" s="171"/>
      <c r="I24" s="35"/>
      <c r="J24" s="35"/>
    </row>
    <row r="25" spans="1:10" s="1" customFormat="1" ht="57.75" customHeight="1" x14ac:dyDescent="0.15">
      <c r="A25" s="19" t="s">
        <v>233</v>
      </c>
      <c r="B25" s="18">
        <f>VLOOKUP($A25,Questions!$A$2:$X$333,2,0)</f>
      </c>
      <c r="C25" s="21" t="s">
        <v>148</v>
      </c>
      <c r="D25" s="307"/>
      <c r="E25" s="166" t="str">
        <f>IF($C$18='Auto Responses'!$J$4,'Auto Responses'!$A$3,IF($C25='Auto Responses'!$J$3,VLOOKUP($A25,Questions!$A$2:$X$333,17,0)&amp;"",IF($C25='Auto Responses'!$J$4,VLOOKUP($A25,Questions!$A$2:$X$333,16,0)&amp;"",VLOOKUP($A25,Questions!$A$2:$X$333,15,0)&amp;"")))</f>
      </c>
      <c r="F25" s="200">
        <f>VLOOKUP($A25,'Institution Evaluation'!$A$56:$F$345,6,0)&amp;""</f>
      </c>
      <c r="I25" s="35"/>
      <c r="J25" s="35"/>
    </row>
    <row r="26" spans="1:10" s="1" customFormat="1" ht="38.25" customHeight="1" x14ac:dyDescent="0.15">
      <c r="A26" s="19" t="s">
        <v>236</v>
      </c>
      <c r="B26" s="18">
        <f>VLOOKUP($A26,Questions!$A$2:$X$333,2,0)</f>
      </c>
      <c r="C26" s="21" t="s">
        <v>148</v>
      </c>
      <c r="D26" s="307" t="s">
        <v>2095</v>
      </c>
      <c r="E26" s="166">
        <f>IF($C$18='Auto Responses'!$J$4,'Auto Responses'!$A$3,IF($C26='Auto Responses'!$J$3,VLOOKUP($A26,Questions!$A$2:$X$333,17,0)&amp;"",IF($C26='Auto Responses'!$J$4,VLOOKUP($A26,Questions!$A$2:$X$333,16,0)&amp;"",VLOOKUP($A26,Questions!$A$2:$X$333,15,0)&amp;"")))</f>
      </c>
      <c r="F26" s="200">
        <f>VLOOKUP($A26,'Institution Evaluation'!$A$56:$F$345,6,0)&amp;""</f>
      </c>
      <c r="I26" s="35"/>
      <c r="J26" s="35"/>
    </row>
    <row r="27" spans="1:10" s="1" customFormat="1" ht="38.25" customHeight="1" x14ac:dyDescent="0.15">
      <c r="A27" s="19" t="s">
        <v>239</v>
      </c>
      <c r="B27" s="18">
        <f>VLOOKUP($A27,Questions!$A$2:$X$333,2,0)</f>
      </c>
      <c r="C27" s="21" t="s">
        <v>148</v>
      </c>
      <c r="D27" s="307" t="s">
        <v>2096</v>
      </c>
      <c r="E27" s="166">
        <f>IF($C$18='Auto Responses'!$J$4,'Auto Responses'!$A$3,IF($C27='Auto Responses'!$J$3,VLOOKUP($A27,Questions!$A$2:$X$333,17,0)&amp;"",IF($C27='Auto Responses'!$J$4,VLOOKUP($A27,Questions!$A$2:$X$333,16,0)&amp;"",VLOOKUP($A27,Questions!$A$2:$X$333,15,0)&amp;"")))</f>
      </c>
      <c r="F27" s="200">
        <f>VLOOKUP($A27,'Institution Evaluation'!$A$56:$F$345,6,0)&amp;""</f>
      </c>
      <c r="I27" s="35"/>
      <c r="J27" s="35"/>
    </row>
    <row r="28" spans="1:10" s="1" customFormat="1" ht="69.75" customHeight="1" x14ac:dyDescent="0.15">
      <c r="A28" s="19" t="s">
        <v>242</v>
      </c>
      <c r="B28" s="18">
        <f>VLOOKUP($A28,Questions!$A$2:$X$333,2,0)</f>
      </c>
      <c r="C28" s="21" t="s">
        <v>148</v>
      </c>
      <c r="D28" s="307"/>
      <c r="E28" s="166" t="str">
        <f>IF($C$18='Auto Responses'!$J$4,'Auto Responses'!$A$3,IF($C28='Auto Responses'!$J$3,VLOOKUP($A28,Questions!$A$2:$X$333,17,0)&amp;"",IF($C28='Auto Responses'!$J$4,VLOOKUP($A28,Questions!$A$2:$X$333,16,0)&amp;"",VLOOKUP($A28,Questions!$A$2:$X$333,15,0)&amp;"")))</f>
      </c>
      <c r="F28" s="200">
        <f>VLOOKUP($A28,'Institution Evaluation'!$A$56:$F$345,6,0)&amp;""</f>
      </c>
      <c r="I28" s="35"/>
      <c r="J28" s="35"/>
    </row>
    <row r="29" spans="1:10" s="1" customFormat="1" ht="104.25" customHeight="1" x14ac:dyDescent="0.15">
      <c r="A29" s="19" t="s">
        <v>245</v>
      </c>
      <c r="B29" s="18">
        <f>VLOOKUP($A29,Questions!$A$2:$X$333,2,0)</f>
      </c>
      <c r="C29" s="357" t="s">
        <v>1962</v>
      </c>
      <c r="D29" s="356"/>
      <c r="E29" s="166" t="str">
        <f>IF($C$18='Auto Responses'!$J$4,'Auto Responses'!$A$3,IF($C29='Auto Responses'!$J$3,VLOOKUP($A29,Questions!$A$2:$X$333,17,0)&amp;"",IF($C29='Auto Responses'!$J$4,VLOOKUP($A29,Questions!$A$2:$X$333,16,0)&amp;"",VLOOKUP($A29,Questions!$A$2:$X$333,15,0)&amp;"")))</f>
      </c>
      <c r="F29" s="200">
        <f>VLOOKUP($A29,'Institution Evaluation'!$A$56:$F$345,6,0)&amp;""</f>
      </c>
      <c r="I29" s="35"/>
      <c r="J29" s="35"/>
    </row>
    <row r="30" spans="1:10" s="1" customFormat="1" ht="48" customHeight="1" x14ac:dyDescent="0.15">
      <c r="A30" s="19" t="s">
        <v>249</v>
      </c>
      <c r="B30" s="18">
        <f>VLOOKUP($A30,Questions!$A$2:$X$333,2,0)</f>
      </c>
      <c r="C30" s="21" t="s">
        <v>40</v>
      </c>
      <c r="D30" s="307" t="s">
        <v>1963</v>
      </c>
      <c r="E30" s="166">
        <f>IF($C$18='Auto Responses'!$J$4,'Auto Responses'!$A$3,IF($C30='Auto Responses'!$J$3,VLOOKUP($A30,Questions!$A$2:$X$333,17,0)&amp;"",IF($C30='Auto Responses'!$J$4,VLOOKUP($A30,Questions!$A$2:$X$333,16,0)&amp;"",VLOOKUP($A30,Questions!$A$2:$X$333,15,0)&amp;"")))</f>
      </c>
      <c r="F30" s="200">
        <f>VLOOKUP($A30,'Institution Evaluation'!$A$56:$F$345,6,0)&amp;""</f>
      </c>
      <c r="I30" s="35"/>
      <c r="J30" s="35"/>
    </row>
    <row r="31" spans="1:10" s="1" customFormat="1" ht="55.5" customHeight="1" x14ac:dyDescent="0.15">
      <c r="A31" s="19" t="s">
        <v>253</v>
      </c>
      <c r="B31" s="18">
        <f>VLOOKUP($A31,Questions!$A$2:$X$333,2,0)</f>
      </c>
      <c r="C31" s="21" t="s">
        <v>40</v>
      </c>
      <c r="D31" s="307" t="s">
        <v>1964</v>
      </c>
      <c r="E31" s="166">
        <f>IF($C$18='Auto Responses'!$J$4,'Auto Responses'!$A$3,IF($C31='Auto Responses'!$J$3,VLOOKUP($A31,Questions!$A$2:$X$333,17,0)&amp;"",IF($C31='Auto Responses'!$J$4,VLOOKUP($A31,Questions!$A$2:$X$333,16,0)&amp;"",VLOOKUP($A31,Questions!$A$2:$X$333,15,0)&amp;"")))</f>
      </c>
      <c r="F31" s="200">
        <f>VLOOKUP($A31,'Institution Evaluation'!$A$56:$F$345,6,0)&amp;""</f>
      </c>
      <c r="I31" s="35"/>
      <c r="J31" s="35"/>
    </row>
    <row r="32" spans="1:10" s="1" customFormat="1" ht="51.75" customHeight="1" x14ac:dyDescent="0.15">
      <c r="A32" s="19" t="s">
        <v>255</v>
      </c>
      <c r="B32" s="18">
        <f>VLOOKUP($A32,Questions!$A$2:$X$333,2,0)</f>
      </c>
      <c r="C32" s="21" t="s">
        <v>148</v>
      </c>
      <c r="D32" s="307"/>
      <c r="E32" s="166" t="str">
        <f>IF($C$18='Auto Responses'!$J$4,'Auto Responses'!$A$3,IF($C32='Auto Responses'!$J$3,VLOOKUP($A32,Questions!$A$2:$X$333,17,0)&amp;"",IF($C32='Auto Responses'!$J$4,VLOOKUP($A32,Questions!$A$2:$X$333,16,0)&amp;"",VLOOKUP($A32,Questions!$A$2:$X$333,15,0)&amp;"")))</f>
      </c>
      <c r="F32" s="200">
        <f>VLOOKUP($A32,'Institution Evaluation'!$A$56:$F$345,6,0)&amp;""</f>
      </c>
      <c r="I32" s="35"/>
      <c r="J32" s="35"/>
    </row>
    <row r="33" spans="1:10" s="1" customFormat="1" ht="60" customHeight="1" x14ac:dyDescent="0.15">
      <c r="A33" s="19" t="s">
        <v>260</v>
      </c>
      <c r="B33" s="18">
        <f>VLOOKUP($A33,Questions!$A$2:$X$333,2,0)</f>
      </c>
      <c r="C33" s="21" t="s">
        <v>148</v>
      </c>
      <c r="D33" s="307" t="s">
        <v>1965</v>
      </c>
      <c r="E33" s="166">
        <f>IF($C33='Auto Responses'!$J$3,VLOOKUP($A33,Questions!$A$2:$X$333,17,0)&amp;"",IF($C33='Auto Responses'!$J$4,VLOOKUP($A33,Questions!$A$2:$X$333,16,0)&amp;"",IF($C33='Auto Responses'!$J$5,VLOOKUP($A33,Questions!$A$2:$X$333,18,0)&amp;"",VLOOKUP($A33,Questions!$A$2:$X$333,15,0)&amp;"")))</f>
      </c>
      <c r="F33" s="200">
        <f>VLOOKUP($A33,'Institution Evaluation'!$A$56:$F$345,6,0)&amp;""</f>
      </c>
      <c r="I33" s="35"/>
      <c r="J33" s="35"/>
    </row>
    <row r="34" spans="1:10" s="1" customFormat="1" ht="75" customHeight="1" x14ac:dyDescent="0.15">
      <c r="A34" s="19" t="s">
        <v>261</v>
      </c>
      <c r="B34" s="18">
        <f>VLOOKUP($A34,Questions!$A$2:$X$333,2,0)</f>
      </c>
      <c r="C34" s="21" t="s">
        <v>40</v>
      </c>
      <c r="D34" s="307" t="s">
        <v>1966</v>
      </c>
      <c r="E34" s="166">
        <f>IF($C$18='Auto Responses'!$J$4,'Auto Responses'!$A$3,IF($C34='Auto Responses'!$J$3,VLOOKUP($A34,Questions!$A$2:$X$333,17,0)&amp;"",IF($C34='Auto Responses'!$J$4,VLOOKUP($A34,Questions!$A$2:$X$333,16,0)&amp;"",VLOOKUP($A34,Questions!$A$2:$X$333,15,0)&amp;"")))</f>
      </c>
      <c r="F34" s="200">
        <f>VLOOKUP($A34,'Institution Evaluation'!$A$56:$F$345,6,0)&amp;""</f>
      </c>
      <c r="I34" s="35"/>
      <c r="J34" s="35"/>
    </row>
    <row r="35" spans="1:10" s="1" customFormat="1" ht="70.5" customHeight="1" x14ac:dyDescent="0.15">
      <c r="A35" s="19" t="s">
        <v>265</v>
      </c>
      <c r="B35" s="18">
        <f>VLOOKUP($A35,Questions!$A$2:$X$333,2,0)</f>
      </c>
      <c r="C35" s="21" t="s">
        <v>40</v>
      </c>
      <c r="D35" s="307" t="s">
        <v>1967</v>
      </c>
      <c r="E35" s="166">
        <f>IF($C$18='Auto Responses'!$J$4,'Auto Responses'!$A$3,IF($C35='Auto Responses'!$J$3,VLOOKUP($A35,Questions!$A$2:$X$333,17,0)&amp;"",IF($C35='Auto Responses'!$J$4,VLOOKUP($A35,Questions!$A$2:$X$333,16,0)&amp;"",VLOOKUP($A35,Questions!$A$2:$X$333,15,0)&amp;"")))</f>
      </c>
      <c r="F35" s="200">
        <f>VLOOKUP($A35,'Institution Evaluation'!$A$56:$F$345,6,0)&amp;""</f>
      </c>
      <c r="I35" s="35"/>
      <c r="J35" s="35"/>
    </row>
    <row r="36" spans="1:10" s="1" customFormat="1" ht="57.75" customHeight="1" x14ac:dyDescent="0.15">
      <c r="A36" s="19" t="s">
        <v>268</v>
      </c>
      <c r="B36" s="18">
        <f>VLOOKUP($A36,Questions!$A$2:$X$333,2,0)</f>
      </c>
      <c r="C36" s="21" t="s">
        <v>148</v>
      </c>
      <c r="D36" s="307"/>
      <c r="E36" s="166" t="str">
        <f>IF($C36='Auto Responses'!$J$3,VLOOKUP($A36,Questions!$A$2:$X$333,17,0)&amp;"",IF($C36='Auto Responses'!$J$4,VLOOKUP($A36,Questions!$A$2:$X$333,16,0)&amp;"",IF($C36='Auto Responses'!$J$5,VLOOKUP($A36,Questions!$A$2:$X$333,18,0)&amp;"",VLOOKUP($A36,Questions!$A$2:$X$333,15,0)&amp;"")))</f>
      </c>
      <c r="F36" s="200">
        <f>VLOOKUP($A36,'Institution Evaluation'!$A$56:$F$345,6,0)&amp;""</f>
      </c>
      <c r="I36" s="35"/>
      <c r="J36" s="35"/>
    </row>
    <row r="37" spans="1:10" s="1" customFormat="1" ht="99" customHeight="1" thickBot="1" x14ac:dyDescent="0.2">
      <c r="A37" s="19" t="s">
        <v>271</v>
      </c>
      <c r="B37" s="18">
        <f>VLOOKUP($A37,Questions!$A$2:$X$333,2,0)</f>
      </c>
      <c r="C37" s="21" t="s">
        <v>148</v>
      </c>
      <c r="D37" s="307" t="s">
        <v>1969</v>
      </c>
      <c r="E37" s="166">
        <f>IF($C$18='Auto Responses'!$J$4,'Auto Responses'!$A$3,IF($C37='Auto Responses'!$J$3,VLOOKUP($A37,Questions!$A$2:$X$333,17,0)&amp;"",IF($C37='Auto Responses'!$J$4,VLOOKUP($A37,Questions!$A$2:$X$333,16,0)&amp;"",VLOOKUP($A37,Questions!$A$2:$X$333,15,0)&amp;"")))</f>
      </c>
      <c r="F37" s="200">
        <f>VLOOKUP($A37,'Institution Evaluation'!$A$56:$F$345,6,0)&amp;""</f>
      </c>
      <c r="G37" s="235" t="s">
        <v>1448</v>
      </c>
      <c r="I37" s="35"/>
      <c r="J37" s="35"/>
    </row>
    <row r="38" spans="1:10" s="1" customFormat="1" ht="37.5" customHeight="1" thickBot="1" x14ac:dyDescent="0.2">
      <c r="A38" s="63" t="str">
        <f>VLOOKUP(LEFT($A39,4),'Auto Responses'!$N$4:$O$38,2,0)&amp;""</f>
        <v xml:space="preserve"> Data</v>
      </c>
      <c r="B38" s="22"/>
      <c r="C38" s="13" t="s">
        <v>1495</v>
      </c>
      <c r="D38" s="13" t="s">
        <v>72</v>
      </c>
      <c r="E38" s="31" t="s">
        <v>848</v>
      </c>
      <c r="F38" s="186" t="s">
        <v>849</v>
      </c>
      <c r="I38" s="35"/>
      <c r="J38" s="35"/>
    </row>
    <row r="39" spans="1:10" s="1" customFormat="1" ht="72" customHeight="1" x14ac:dyDescent="0.15">
      <c r="A39" s="19" t="s">
        <v>325</v>
      </c>
      <c r="B39" s="18">
        <f>VLOOKUP($A39,Questions!$A$2:$X$333,2,0)</f>
      </c>
      <c r="C39" s="21" t="s">
        <v>40</v>
      </c>
      <c r="D39" s="307"/>
      <c r="E39" s="166" t="str">
        <f>IF($C$18='Auto Responses'!$J$4,'Auto Responses'!$A$3,IF($C39='Auto Responses'!$J$3,VLOOKUP($A39,Questions!$A$2:$X$333,17,0)&amp;"",IF($C39='Auto Responses'!$J$4,VLOOKUP($A39,Questions!$A$2:$X$333,16,0)&amp;"",VLOOKUP($A39,Questions!$A$2:$X$333,15,0)&amp;"")))</f>
      </c>
      <c r="F39" s="200">
        <f>VLOOKUP($A39,'Institution Evaluation'!$A$56:$F$345,6,0)&amp;""</f>
      </c>
      <c r="I39" s="35"/>
      <c r="J39" s="35"/>
    </row>
    <row r="40" spans="1:10" s="1" customFormat="1" ht="61.5" customHeight="1" x14ac:dyDescent="0.15">
      <c r="A40" s="19" t="s">
        <v>329</v>
      </c>
      <c r="B40" s="18">
        <f>VLOOKUP($A40,Questions!$A$2:$X$333,2,0)</f>
      </c>
      <c r="C40" s="21" t="s">
        <v>40</v>
      </c>
      <c r="D40" s="307" t="s">
        <v>1971</v>
      </c>
      <c r="E40" s="166">
        <f>IF($C$18='Auto Responses'!$J$4,'Auto Responses'!$A$3,IF($C40='Auto Responses'!$J$3,VLOOKUP($A40,Questions!$A$2:$X$333,17,0)&amp;"",IF($C40='Auto Responses'!$J$4,VLOOKUP($A40,Questions!$A$2:$X$333,16,0)&amp;"",VLOOKUP($A40,Questions!$A$2:$X$333,15,0)&amp;"")))</f>
      </c>
      <c r="F40" s="200">
        <f>VLOOKUP($A40,'Institution Evaluation'!$A$56:$F$345,6,0)&amp;""</f>
      </c>
      <c r="I40" s="35"/>
      <c r="J40" s="35"/>
    </row>
    <row r="41" spans="1:10" s="1" customFormat="1" ht="52.5" customHeight="1" x14ac:dyDescent="0.15">
      <c r="A41" s="19" t="s">
        <v>332</v>
      </c>
      <c r="B41" s="18">
        <f>VLOOKUP($A41,Questions!$A$2:$X$333,2,0)</f>
      </c>
      <c r="C41" s="21" t="s">
        <v>148</v>
      </c>
      <c r="D41" s="307"/>
      <c r="E41" s="166" t="str">
        <f>IF($C$18='Auto Responses'!$J$4,'Auto Responses'!$A$3,IF($C41='Auto Responses'!$J$3,VLOOKUP($A41,Questions!$A$2:$X$333,17,0)&amp;"",IF($C41='Auto Responses'!$J$4,VLOOKUP($A41,Questions!$A$2:$X$333,16,0)&amp;"",VLOOKUP($A41,Questions!$A$2:$X$333,15,0)&amp;"")))</f>
      </c>
      <c r="F41" s="200">
        <f>VLOOKUP($A41,'Institution Evaluation'!$A$56:$F$345,6,0)&amp;""</f>
      </c>
      <c r="I41" s="35"/>
      <c r="J41" s="35"/>
    </row>
    <row r="42" spans="1:10" s="1" customFormat="1" ht="51.75" customHeight="1" x14ac:dyDescent="0.15">
      <c r="A42" s="19" t="s">
        <v>336</v>
      </c>
      <c r="B42" s="18">
        <f>VLOOKUP($A42,Questions!$A$2:$X$333,2,0)</f>
      </c>
      <c r="C42" s="21" t="s">
        <v>148</v>
      </c>
      <c r="D42" s="307"/>
      <c r="E42" s="166" t="str">
        <f>IF($C$18='Auto Responses'!$J$4,'Auto Responses'!$A$3,IF($C42='Auto Responses'!$J$3,VLOOKUP($A42,Questions!$A$2:$X$333,17,0)&amp;"",IF($C42='Auto Responses'!$J$4,VLOOKUP($A42,Questions!$A$2:$X$333,16,0)&amp;"",VLOOKUP($A42,Questions!$A$2:$X$333,15,0)&amp;"")))</f>
      </c>
      <c r="F42" s="200">
        <f>VLOOKUP($A42,'Institution Evaluation'!$A$56:$F$345,6,0)&amp;""</f>
      </c>
      <c r="I42" s="35"/>
      <c r="J42" s="35"/>
    </row>
    <row r="43" spans="1:10" s="1" customFormat="1" ht="38.25" customHeight="1" x14ac:dyDescent="0.15">
      <c r="A43" s="19" t="s">
        <v>341</v>
      </c>
      <c r="B43" s="18">
        <f>VLOOKUP($A43,Questions!$A$2:$X$333,2,0)</f>
      </c>
      <c r="C43" s="21" t="s">
        <v>40</v>
      </c>
      <c r="D43" s="307" t="s">
        <v>1973</v>
      </c>
      <c r="E43" s="166">
        <f>IF($C$18='Auto Responses'!$J$4,'Auto Responses'!$A$3,IF($C43='Auto Responses'!$J$3,VLOOKUP($A43,Questions!$A$2:$X$333,17,0)&amp;"",IF($C43='Auto Responses'!$J$4,VLOOKUP($A43,Questions!$A$2:$X$333,16,0)&amp;"",VLOOKUP($A43,Questions!$A$2:$X$333,15,0)&amp;"")))</f>
      </c>
      <c r="F43" s="200">
        <f>VLOOKUP($A43,'Institution Evaluation'!$A$56:$F$345,6,0)&amp;""</f>
      </c>
      <c r="I43" s="35"/>
      <c r="J43" s="35"/>
    </row>
    <row r="44" spans="1:10" s="1" customFormat="1" ht="38.25" customHeight="1" x14ac:dyDescent="0.15">
      <c r="A44" s="19" t="s">
        <v>344</v>
      </c>
      <c r="B44" s="18">
        <f>VLOOKUP($A44,Questions!$A$2:$X$333,2,0)</f>
      </c>
      <c r="C44" s="21" t="s">
        <v>40</v>
      </c>
      <c r="D44" s="307"/>
      <c r="E44" s="166" t="str">
        <f>IF($C$18='Auto Responses'!$J$4,'Auto Responses'!$A$3,IF($C44='Auto Responses'!$J$3,VLOOKUP($A44,Questions!$A$2:$X$333,17,0)&amp;"",IF($C44='Auto Responses'!$J$4,VLOOKUP($A44,Questions!$A$2:$X$333,16,0)&amp;"",VLOOKUP($A44,Questions!$A$2:$X$333,15,0)&amp;"")))</f>
      </c>
      <c r="F44" s="200">
        <f>VLOOKUP($A44,'Institution Evaluation'!$A$56:$F$345,6,0)&amp;""</f>
      </c>
      <c r="I44" s="35"/>
      <c r="J44" s="35"/>
    </row>
    <row r="45" spans="1:10" s="1" customFormat="1" ht="38.25" customHeight="1" x14ac:dyDescent="0.15">
      <c r="A45" s="19" t="s">
        <v>346</v>
      </c>
      <c r="B45" s="18">
        <f>VLOOKUP($A45,Questions!$A$2:$X$333,2,0)</f>
      </c>
      <c r="C45" s="21" t="s">
        <v>148</v>
      </c>
      <c r="D45" s="307" t="s">
        <v>1974</v>
      </c>
      <c r="E45" s="166">
        <f>IF($C$18='Auto Responses'!$J$4,'Auto Responses'!$A$3,IF($C45='Auto Responses'!$J$3,VLOOKUP($A45,Questions!$A$2:$X$333,17,0)&amp;"",IF($C45='Auto Responses'!$J$4,VLOOKUP($A45,Questions!$A$2:$X$333,16,0)&amp;"",VLOOKUP($A45,Questions!$A$2:$X$333,15,0)&amp;"")))</f>
      </c>
      <c r="F45" s="200">
        <f>VLOOKUP($A45,'Institution Evaluation'!$A$56:$F$345,6,0)&amp;""</f>
      </c>
      <c r="I45" s="35"/>
      <c r="J45" s="35"/>
    </row>
    <row r="46" spans="1:10" s="1" customFormat="1" ht="38.25" customHeight="1" x14ac:dyDescent="0.15">
      <c r="A46" s="19" t="s">
        <v>348</v>
      </c>
      <c r="B46" s="18">
        <f>VLOOKUP($A46,Questions!$A$2:$X$333,2,0)</f>
      </c>
      <c r="C46" s="21" t="s">
        <v>40</v>
      </c>
      <c r="D46" s="307" t="s">
        <v>1975</v>
      </c>
      <c r="E46" s="166">
        <f>IF($C$18='Auto Responses'!$J$4,'Auto Responses'!$A$3,IF($C46='Auto Responses'!$J$3,VLOOKUP($A46,Questions!$A$2:$X$333,17,0)&amp;"",IF($C46='Auto Responses'!$J$4,VLOOKUP($A46,Questions!$A$2:$X$333,16,0)&amp;"",VLOOKUP($A46,Questions!$A$2:$X$333,15,0)&amp;"")))</f>
      </c>
      <c r="F46" s="200">
        <f>VLOOKUP($A46,'Institution Evaluation'!$A$56:$F$345,6,0)&amp;""</f>
      </c>
      <c r="I46" s="35"/>
      <c r="J46" s="35"/>
    </row>
    <row r="47" spans="1:10" s="1" customFormat="1" ht="48" customHeight="1" x14ac:dyDescent="0.15">
      <c r="A47" s="19" t="s">
        <v>352</v>
      </c>
      <c r="B47" s="18">
        <f>VLOOKUP($A47,Questions!$A$2:$X$333,2,0)</f>
      </c>
      <c r="C47" s="21" t="s">
        <v>40</v>
      </c>
      <c r="D47" s="307" t="s">
        <v>1976</v>
      </c>
      <c r="E47" s="166">
        <f>IF($C$18='Auto Responses'!$J$4,'Auto Responses'!$A$3,IF($C47='Auto Responses'!$J$3,VLOOKUP($A47,Questions!$A$2:$X$333,17,0)&amp;"",IF($C47='Auto Responses'!$J$4,VLOOKUP($A47,Questions!$A$2:$X$333,16,0)&amp;"",VLOOKUP($A47,Questions!$A$2:$X$333,15,0)&amp;"")))</f>
      </c>
      <c r="F47" s="200">
        <f>VLOOKUP($A47,'Institution Evaluation'!$A$56:$F$345,6,0)&amp;""</f>
      </c>
      <c r="I47" s="35"/>
      <c r="J47" s="35"/>
    </row>
    <row r="48" spans="1:10" s="1" customFormat="1" ht="38.25" customHeight="1" x14ac:dyDescent="0.15">
      <c r="A48" s="19" t="s">
        <v>355</v>
      </c>
      <c r="B48" s="18">
        <f>VLOOKUP($A48,Questions!$A$2:$X$333,2,0)</f>
      </c>
      <c r="C48" s="21" t="s">
        <v>148</v>
      </c>
      <c r="D48" s="307" t="s">
        <v>1977</v>
      </c>
      <c r="E48" s="166">
        <f>IF($C$18='Auto Responses'!$J$4,'Auto Responses'!$A$3,IF($C48='Auto Responses'!$J$3,VLOOKUP($A48,Questions!$A$2:$X$333,17,0)&amp;"",IF($C48='Auto Responses'!$J$4,VLOOKUP($A48,Questions!$A$2:$X$333,16,0)&amp;"",VLOOKUP($A48,Questions!$A$2:$X$333,15,0)&amp;"")))</f>
      </c>
      <c r="F48" s="200">
        <f>VLOOKUP($A48,'Institution Evaluation'!$A$56:$F$345,6,0)&amp;""</f>
      </c>
      <c r="I48" s="35"/>
      <c r="J48" s="35"/>
    </row>
    <row r="49" spans="1:10" s="1" customFormat="1" ht="54" customHeight="1" x14ac:dyDescent="0.15">
      <c r="A49" s="19" t="s">
        <v>359</v>
      </c>
      <c r="B49" s="18">
        <f>VLOOKUP($A49,Questions!$A$2:$X$333,2,0)</f>
      </c>
      <c r="C49" s="21" t="s">
        <v>40</v>
      </c>
      <c r="D49" s="307" t="s">
        <v>1978</v>
      </c>
      <c r="E49" s="166">
        <f>IF($C$18='Auto Responses'!$J$4,'Auto Responses'!$A$3,IF($C49='Auto Responses'!$J$3,VLOOKUP($A49,Questions!$A$2:$X$333,17,0)&amp;"",IF($C49='Auto Responses'!$J$4,VLOOKUP($A49,Questions!$A$2:$X$333,16,0)&amp;"",VLOOKUP($A49,Questions!$A$2:$X$333,15,0)&amp;"")))</f>
      </c>
      <c r="F49" s="200">
        <f>VLOOKUP($A49,'Institution Evaluation'!$A$56:$F$345,6,0)&amp;""</f>
      </c>
      <c r="I49" s="35"/>
      <c r="J49" s="35"/>
    </row>
    <row r="50" spans="1:10" s="1" customFormat="1" ht="53.25" customHeight="1" x14ac:dyDescent="0.15">
      <c r="A50" s="19" t="s">
        <v>363</v>
      </c>
      <c r="B50" s="18">
        <f>VLOOKUP($A50,Questions!$A$2:$X$333,2,0)</f>
      </c>
      <c r="C50" s="21" t="s">
        <v>148</v>
      </c>
      <c r="D50" s="307"/>
      <c r="E50" s="166" t="str">
        <f>IF($C$18='Auto Responses'!$J$4,'Auto Responses'!$A$3,IF($C50='Auto Responses'!$J$3,VLOOKUP($A50,Questions!$A$2:$X$333,17,0)&amp;"",IF($C50='Auto Responses'!$J$4,VLOOKUP($A50,Questions!$A$2:$X$333,16,0)&amp;"",VLOOKUP($A50,Questions!$A$2:$X$333,15,0)&amp;"")))</f>
      </c>
      <c r="F50" s="200">
        <f>VLOOKUP($A50,'Institution Evaluation'!$A$56:$F$345,6,0)&amp;""</f>
      </c>
      <c r="I50" s="35"/>
      <c r="J50" s="35"/>
    </row>
    <row r="51" spans="1:10" s="1" customFormat="1" ht="51.75" customHeight="1" x14ac:dyDescent="0.15">
      <c r="A51" s="19" t="s">
        <v>369</v>
      </c>
      <c r="B51" s="18">
        <f>VLOOKUP($A51,Questions!$A$2:$X$333,2,0)</f>
      </c>
      <c r="C51" s="21" t="s">
        <v>1525</v>
      </c>
      <c r="D51" s="307" t="s">
        <v>1980</v>
      </c>
      <c r="E51" s="166">
        <f>IF($C51='Auto Responses'!$J$3,VLOOKUP($A51,Questions!$A$2:$X$333,17,0)&amp;"",IF($C51='Auto Responses'!$J$4,VLOOKUP($A51,Questions!$A$2:$X$333,16,0)&amp;"",IF($C51='Auto Responses'!$J$5,VLOOKUP($A51,Questions!$A$2:$X$333,18,0)&amp;"",VLOOKUP($A51,Questions!$A$2:$X$333,15,0)&amp;"")))</f>
      </c>
      <c r="F51" s="200">
        <f>VLOOKUP($A51,'Institution Evaluation'!$A$56:$F$345,6,0)&amp;""</f>
      </c>
      <c r="I51" s="35"/>
      <c r="J51" s="35"/>
    </row>
    <row r="52" spans="1:10" s="1" customFormat="1" ht="75.75" customHeight="1" x14ac:dyDescent="0.15">
      <c r="A52" s="19" t="s">
        <v>373</v>
      </c>
      <c r="B52" s="18">
        <f>VLOOKUP($A52,Questions!$A$2:$X$333,2,0)</f>
      </c>
      <c r="C52" s="21" t="s">
        <v>148</v>
      </c>
      <c r="D52" s="307"/>
      <c r="E52" s="166" t="str">
        <f>IF($C$18='Auto Responses'!$J$4,'Auto Responses'!$A$3,IF($C52='Auto Responses'!$J$3,VLOOKUP($A52,Questions!$A$2:$X$333,17,0)&amp;"",IF($C52='Auto Responses'!$J$4,VLOOKUP($A52,Questions!$A$2:$X$333,16,0)&amp;"",VLOOKUP($A52,Questions!$A$2:$X$333,15,0)&amp;"")))</f>
      </c>
      <c r="F52" s="200">
        <f>VLOOKUP($A52,'Institution Evaluation'!$A$56:$F$345,6,0)&amp;""</f>
      </c>
      <c r="I52" s="35"/>
      <c r="J52" s="35"/>
    </row>
    <row r="53" spans="1:10" s="1" customFormat="1" ht="66" customHeight="1" x14ac:dyDescent="0.15">
      <c r="A53" s="19" t="s">
        <v>374</v>
      </c>
      <c r="B53" s="18">
        <f>VLOOKUP($A53,Questions!$A$2:$X$333,2,0)</f>
      </c>
      <c r="C53" s="21" t="s">
        <v>148</v>
      </c>
      <c r="D53" s="307" t="s">
        <v>1982</v>
      </c>
      <c r="E53" s="166">
        <f>IF($C$18='Auto Responses'!$J$4,'Auto Responses'!$A$3,IF($C53='Auto Responses'!$J$3,VLOOKUP($A53,Questions!$A$2:$X$333,17,0)&amp;"",IF($C53='Auto Responses'!$J$4,VLOOKUP($A53,Questions!$A$2:$X$333,16,0)&amp;"",VLOOKUP($A53,Questions!$A$2:$X$333,15,0)&amp;"")))</f>
      </c>
      <c r="F53" s="200">
        <f>VLOOKUP($A53,'Institution Evaluation'!$A$56:$F$345,6,0)&amp;""</f>
      </c>
      <c r="I53" s="35"/>
      <c r="J53" s="35"/>
    </row>
    <row r="54" spans="1:10" s="1" customFormat="1" ht="44.25" customHeight="1" x14ac:dyDescent="0.15">
      <c r="A54" s="19" t="s">
        <v>375</v>
      </c>
      <c r="B54" s="18">
        <f>VLOOKUP($A54,Questions!$A$2:$X$333,2,0)</f>
      </c>
      <c r="C54" s="21" t="s">
        <v>148</v>
      </c>
      <c r="D54" s="307" t="s">
        <v>1983</v>
      </c>
      <c r="E54" s="166">
        <f>IF($C$18='Auto Responses'!$J$4,'Auto Responses'!$A$3,IF($C54='Auto Responses'!$J$3,VLOOKUP($A54,Questions!$A$2:$X$333,17,0)&amp;"",IF($C54='Auto Responses'!$J$4,VLOOKUP($A54,Questions!$A$2:$X$333,16,0)&amp;"",VLOOKUP($A54,Questions!$A$2:$X$333,15,0)&amp;"")))</f>
      </c>
      <c r="F54" s="200">
        <f>VLOOKUP($A54,'Institution Evaluation'!$A$56:$F$345,6,0)&amp;""</f>
      </c>
      <c r="I54" s="35"/>
      <c r="J54" s="35"/>
    </row>
    <row r="55" spans="1:10" s="1" customFormat="1" ht="46.5" customHeight="1" x14ac:dyDescent="0.15">
      <c r="A55" s="19" t="s">
        <v>379</v>
      </c>
      <c r="B55" s="18">
        <f>VLOOKUP($A55,Questions!$A$2:$X$333,2,0)</f>
      </c>
      <c r="C55" s="21" t="s">
        <v>40</v>
      </c>
      <c r="D55" s="307" t="s">
        <v>1984</v>
      </c>
      <c r="E55" s="166">
        <f>IF($C$18='Auto Responses'!$J$4,'Auto Responses'!$A$3,IF($C55='Auto Responses'!$J$3,VLOOKUP($A55,Questions!$A$2:$X$333,17,0)&amp;"",IF($C55='Auto Responses'!$J$4,VLOOKUP($A55,Questions!$A$2:$X$333,16,0)&amp;"",VLOOKUP($A55,Questions!$A$2:$X$333,15,0)&amp;"")))</f>
      </c>
      <c r="F55" s="200">
        <f>VLOOKUP($A55,'Institution Evaluation'!$A$56:$F$345,6,0)&amp;""</f>
      </c>
      <c r="I55" s="35"/>
      <c r="J55" s="35"/>
    </row>
    <row r="56" spans="1:10" s="1" customFormat="1" ht="67.5" customHeight="1" x14ac:dyDescent="0.15">
      <c r="A56" s="19" t="s">
        <v>385</v>
      </c>
      <c r="B56" s="18">
        <f>VLOOKUP($A56,Questions!$A$2:$X$333,2,0)</f>
      </c>
      <c r="C56" s="21" t="inlineStr">
        <is>
          <t xml:space="preserve">Yes</t>
        </is>
      </c>
      <c r="D56" s="307" t="inlineStr">
        <is>
          <t xml:space="preserve">Information Security Policy §5: full-disk encryption, OS/browser updates within 14 days, automatic screen lock, password manager, and no Restricted data stored locally on any device used remotely.</t>
        </is>
      </c>
      <c r="E56" s="166">
        <f>IF($C$18='Auto Responses'!$J$4,'Auto Responses'!$A$3,IF($C56='Auto Responses'!$J$3,VLOOKUP($A56,Questions!$A$2:$X$333,17,0)&amp;"",IF($C56='Auto Responses'!$J$4,VLOOKUP($A56,Questions!$A$2:$X$333,16,0)&amp;"",VLOOKUP($A56,Questions!$A$2:$X$333,15,0)&amp;"")))</f>
      </c>
      <c r="F56" s="200">
        <f>VLOOKUP($A56,'Institution Evaluation'!$A$56:$F$345,6,0)&amp;""</f>
      </c>
      <c r="I56" s="35"/>
      <c r="J56" s="35"/>
    </row>
    <row r="57" spans="1:10" s="1" customFormat="1" ht="68.25" customHeight="1" x14ac:dyDescent="0.15">
      <c r="A57" s="19" t="s">
        <v>387</v>
      </c>
      <c r="B57" s="18">
        <f>VLOOKUP($A57,Questions!$A$2:$X$333,2,0)</f>
      </c>
      <c r="C57" s="21" t="s">
        <v>148</v>
      </c>
      <c r="D57" s="307" t="s">
        <v>1985</v>
      </c>
      <c r="E57" s="166">
        <f>IF($C$18='Auto Responses'!$J$4,'Auto Responses'!$A$3,IF($C57='Auto Responses'!$J$3,VLOOKUP($A57,Questions!$A$2:$X$333,17,0)&amp;"",IF($C57='Auto Responses'!$J$4,VLOOKUP($A57,Questions!$A$2:$X$333,16,0)&amp;"",VLOOKUP($A57,Questions!$A$2:$X$333,15,0)&amp;"")))</f>
      </c>
      <c r="F57" s="200">
        <f>VLOOKUP($A57,'Institution Evaluation'!$A$56:$F$345,6,0)&amp;""</f>
      </c>
      <c r="I57" s="35"/>
      <c r="J57" s="35"/>
    </row>
    <row r="58" spans="1:10" s="1" customFormat="1" ht="55.5" customHeight="1" x14ac:dyDescent="0.15">
      <c r="A58" s="19" t="s">
        <v>392</v>
      </c>
      <c r="B58" s="18">
        <f>VLOOKUP($A58,Questions!$A$2:$X$333,2,0)</f>
      </c>
      <c r="C58" s="21" t="s">
        <v>40</v>
      </c>
      <c r="D58" s="307"/>
      <c r="E58" s="166" t="str">
        <f>IF($C$18='Auto Responses'!$J$4,'Auto Responses'!$A$3,IF($C58='Auto Responses'!$J$3,VLOOKUP($A58,Questions!$A$2:$X$333,17,0)&amp;"",IF($C58='Auto Responses'!$J$4,VLOOKUP($A58,Questions!$A$2:$X$333,16,0)&amp;"",VLOOKUP($A58,Questions!$A$2:$X$333,15,0)&amp;"")))</f>
      </c>
      <c r="F58" s="200">
        <f>VLOOKUP($A58,'Institution Evaluation'!$A$56:$F$345,6,0)&amp;""</f>
      </c>
      <c r="I58" s="35"/>
      <c r="J58" s="35"/>
    </row>
    <row r="59" spans="1:10" s="1" customFormat="1" ht="45.75" customHeight="1" x14ac:dyDescent="0.15">
      <c r="A59" s="19" t="s">
        <v>395</v>
      </c>
      <c r="B59" s="18">
        <f>VLOOKUP($A59,Questions!$A$2:$X$333,2,0)</f>
      </c>
      <c r="C59" s="21" t="s">
        <v>40</v>
      </c>
      <c r="D59" s="307"/>
      <c r="E59" s="166" t="str">
        <f>IF($C$18='Auto Responses'!$J$4,'Auto Responses'!$A$3,IF($C59='Auto Responses'!$J$3,VLOOKUP($A59,Questions!$A$2:$X$333,17,0)&amp;"",IF($C59='Auto Responses'!$J$4,VLOOKUP($A59,Questions!$A$2:$X$333,16,0)&amp;"",VLOOKUP($A59,Questions!$A$2:$X$333,15,0)&amp;"")))</f>
      </c>
      <c r="F59" s="200">
        <f>VLOOKUP($A59,'Institution Evaluation'!$A$56:$F$345,6,0)&amp;""</f>
      </c>
      <c r="I59" s="35"/>
      <c r="J59" s="35"/>
    </row>
    <row r="60" spans="1:10" s="1" customFormat="1" ht="54" customHeight="1" x14ac:dyDescent="0.15">
      <c r="A60" s="19" t="s">
        <v>398</v>
      </c>
      <c r="B60" s="18">
        <f>VLOOKUP($A60,Questions!$A$2:$X$333,2,0)</f>
      </c>
      <c r="C60" s="21" t="s">
        <v>148</v>
      </c>
      <c r="D60" s="307"/>
      <c r="E60" s="166" t="str">
        <f>IF($C$18='Auto Responses'!$J$4,'Auto Responses'!$A$3,IF($C60='Auto Responses'!$J$3,VLOOKUP($A60,Questions!$A$2:$X$333,17,0)&amp;"",IF($C60='Auto Responses'!$J$4,VLOOKUP($A60,Questions!$A$2:$X$333,16,0)&amp;"",VLOOKUP($A60,Questions!$A$2:$X$333,15,0)&amp;"")))</f>
      </c>
      <c r="F60" s="200">
        <f>VLOOKUP($A60,'Institution Evaluation'!$A$56:$F$345,6,0)&amp;""</f>
      </c>
      <c r="I60" s="35"/>
      <c r="J60" s="35"/>
    </row>
    <row r="61" spans="1:10" s="1" customFormat="1" ht="76.5" customHeight="1" x14ac:dyDescent="0.15">
      <c r="A61" s="19" t="s">
        <v>402</v>
      </c>
      <c r="B61" s="18">
        <f>VLOOKUP($A61,Questions!$A$2:$X$333,2,0)</f>
      </c>
      <c r="C61" s="21" t="s">
        <v>148</v>
      </c>
      <c r="D61" s="307" t="s">
        <v>1987</v>
      </c>
      <c r="E61" s="166">
        <f>IF($C$18='Auto Responses'!$J$4,'Auto Responses'!$A$3,IF($C61='Auto Responses'!$J$3,VLOOKUP($A61,Questions!$A$2:$X$333,17,0)&amp;"",IF($C61='Auto Responses'!$J$4,VLOOKUP($A61,Questions!$A$2:$X$333,16,0)&amp;"",VLOOKUP($A61,Questions!$A$2:$X$333,15,0)&amp;"")))</f>
      </c>
      <c r="F61" s="200">
        <f>VLOOKUP($A61,'Institution Evaluation'!$A$56:$F$345,6,0)&amp;""</f>
      </c>
      <c r="G61" s="235" t="s">
        <v>1448</v>
      </c>
      <c r="I61" s="35"/>
      <c r="J61" s="35"/>
    </row>
    <row r="62" spans="1:10" s="170" customFormat="1" ht="36.75" customHeight="1" x14ac:dyDescent="0.15">
      <c r="A62" s="262" t="s">
        <v>1505</v>
      </c>
      <c r="B62" s="248"/>
      <c r="C62" s="249"/>
      <c r="D62" s="308"/>
      <c r="E62" s="251"/>
      <c r="F62" s="252"/>
      <c r="G62" s="253"/>
      <c r="I62" s="171"/>
      <c r="J62" s="171"/>
    </row>
    <row r="63" spans="1:10" s="1" customFormat="1" ht="15" customHeight="1" x14ac:dyDescent="0.15">
      <c r="A63" s="261"/>
      <c r="C63" s="8"/>
      <c r="D63" s="9"/>
      <c r="E63" s="10"/>
      <c r="I63" s="35"/>
      <c r="J63" s="35"/>
    </row>
    <row r="64" spans="1:10" s="1" customFormat="1" ht="15" hidden="1" customHeight="1" x14ac:dyDescent="0.15">
      <c r="A64"/>
      <c r="C64" s="8"/>
      <c r="D64" s="9"/>
      <c r="E64" s="10"/>
      <c r="I64" s="35"/>
      <c r="J64" s="35"/>
    </row>
    <row r="65" spans="1:12" ht="15" hidden="1" customHeight="1" x14ac:dyDescent="0.15">
      <c r="A65" s="1"/>
      <c r="B65" s="8"/>
      <c r="C65" s="70"/>
      <c r="D65" s="10"/>
      <c r="E65" s="1"/>
      <c r="H65" s="35"/>
      <c r="I65" s="1"/>
      <c r="J65" s="1"/>
      <c r="L65"/>
    </row>
    <row r="66" spans="1:12" ht="57" hidden="1" customHeight="1" x14ac:dyDescent="0.15">
      <c r="A66" s="19" t="e">
        <f>#REF!</f>
      </c>
    </row>
    <row r="67" spans="1:12" ht="42.75" hidden="1" customHeight="1" x14ac:dyDescent="0.15">
      <c r="A67" s="19">
        <f>#REF!</f>
      </c>
    </row>
    <row r="68" spans="1:12" ht="15" hidden="1" customHeight="1" x14ac:dyDescent="0.15">
      <c r="A68" s="19">
        <f>#REF!</f>
      </c>
    </row>
    <row r="69" spans="1:12" ht="15" hidden="1" customHeight="1" x14ac:dyDescent="0.15">
      <c r="A69" s="19">
        <f>#REF!</f>
      </c>
    </row>
    <row r="70" spans="1:12" ht="15" hidden="1" customHeight="1" x14ac:dyDescent="0.15">
      <c r="A70" s="19">
        <f>#REF!</f>
      </c>
    </row>
    <row r="71" spans="1:12" ht="15" hidden="1" customHeight="1" x14ac:dyDescent="0.15">
      <c r="A71" s="19">
        <f>#REF!</f>
      </c>
    </row>
    <row r="72" spans="1:12" ht="15" hidden="1" customHeight="1" x14ac:dyDescent="0.15">
      <c r="A72" s="19">
        <f>#REF!</f>
      </c>
    </row>
    <row r="73" spans="1:12" ht="15" hidden="1" customHeight="1" x14ac:dyDescent="0.15"/>
    <row r="74" spans="1:12" ht="15" hidden="1" customHeight="1" x14ac:dyDescent="0.15"/>
    <row r="75" spans="1:12" ht="15" hidden="1" customHeight="1" x14ac:dyDescent="0.15"/>
    <row r="76" spans="1:12" ht="15" hidden="1" customHeight="1" x14ac:dyDescent="0.15"/>
    <row r="77" spans="1:12" ht="15" hidden="1" customHeight="1" x14ac:dyDescent="0.15"/>
    <row r="78" spans="1:12" ht="15" hidden="1" customHeight="1" x14ac:dyDescent="0.15"/>
    <row r="79" spans="1:12" ht="15" hidden="1" customHeight="1" x14ac:dyDescent="0.15"/>
    <row r="80" spans="1:12" ht="15" hidden="1" customHeight="1" x14ac:dyDescent="0.15"/>
    <row r="81" ht="15" hidden="1" customHeight="1" x14ac:dyDescent="0.15"/>
    <row r="82" ht="15" hidden="1" customHeight="1" x14ac:dyDescent="0.15"/>
    <row r="83" ht="15" hidden="1" customHeight="1" x14ac:dyDescent="0.15"/>
    <row r="84" ht="15" hidden="1" customHeight="1" x14ac:dyDescent="0.15"/>
    <row r="85" ht="15" hidden="1" customHeight="1" x14ac:dyDescent="0.1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For full instructions, please visit the HECVAT website." xr:uid="{6D5A27A0-CF84-4C62-B544-96085F34325A}"/>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C32 C52:C62 C39:C50 C34:C35 C30 C25:C28 C20</xm:sqref>
        </x14:dataValidation>
        <x14:dataValidation type="list" allowBlank="1" showInputMessage="1" showErrorMessage="1" xr:uid="{0AAA81DB-1F91-4505-860D-18952EEEC318}">
          <x14:formula1>
            <xm:f>'Auto Responses'!$J$3:$J$5</xm:f>
          </x14:formula1>
          <xm:sqref>C36 C51 C33 C31 C21:C24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61" zoomScale="81" zoomScaleNormal="81" workbookViewId="0">
      <selection activeCell="A2" sqref="A2"/>
    </sheetView>
  </sheetViews>
  <sheetFormatPr baseColWidth="10" defaultColWidth="0" defaultRowHeight="0" customHeight="1" zeroHeight="1" x14ac:dyDescent="0.15"/>
  <cols>
    <col min="1" max="1" width="8.25" style="23" customWidth="1"/>
    <col min="2" max="2" width="55.125" style="1" customWidth="1"/>
    <col min="3" max="3" width="20.25" style="8" bestFit="1" customWidth="1"/>
    <col min="4" max="4" width="55.625" style="9" customWidth="1"/>
    <col min="5" max="5" width="32" style="10" customWidth="1"/>
    <col min="6" max="6" width="30.625" style="1" customWidth="1"/>
    <col min="7" max="7" width="18.125" style="1" customWidth="1"/>
    <col min="8" max="8" width="18.125" style="1" hidden="1" customWidth="1"/>
    <col min="9" max="10" width="18.125" style="35" hidden="1" customWidth="1"/>
    <col min="11" max="11" width="4.5" style="1" hidden="1" customWidth="1"/>
    <col min="12" max="12" width="6.625" style="1" hidden="1" customWidth="1"/>
    <col min="13" max="16384" width="6.625" style="23" hidden="1"/>
  </cols>
  <sheetData>
    <row r="1" spans="1:12" ht="0" hidden="1" customHeight="1" x14ac:dyDescent="0.15">
      <c r="A1" s="23" t="s">
        <v>1447</v>
      </c>
    </row>
    <row r="2" spans="1:12" customFormat="1" ht="36" customHeight="1" x14ac:dyDescent="0.15">
      <c r="A2" s="167" t="s">
        <v>1376</v>
      </c>
      <c r="B2" s="167"/>
      <c r="C2" s="168"/>
      <c r="D2" s="302"/>
      <c r="E2" s="169"/>
      <c r="F2" s="169" t="str">
        <f>'Auto Responses'!$A$36</f>
      </c>
      <c r="G2" s="1"/>
      <c r="H2" s="1"/>
      <c r="I2" s="35"/>
      <c r="J2" s="1"/>
      <c r="K2" s="1"/>
      <c r="L2" s="1"/>
    </row>
    <row r="3" spans="1:12" s="1" customFormat="1" ht="29.25" customHeight="1" x14ac:dyDescent="0.15">
      <c r="A3" s="37" t="s">
        <v>940</v>
      </c>
      <c r="B3" s="38"/>
      <c r="C3" s="66">
        <f>'START HERE'!$C$3</f>
      </c>
      <c r="D3" s="303"/>
      <c r="E3" s="36"/>
      <c r="F3" s="50"/>
      <c r="I3" s="35"/>
    </row>
    <row r="4" spans="1:12" s="1" customFormat="1" ht="36" customHeight="1" x14ac:dyDescent="0.15">
      <c r="A4" s="11" t="s">
        <v>865</v>
      </c>
      <c r="B4" s="12"/>
      <c r="C4" s="13"/>
      <c r="D4" s="14"/>
      <c r="E4" s="15"/>
      <c r="F4" s="15"/>
      <c r="I4" s="35"/>
    </row>
    <row r="5" spans="1:12" s="1" customFormat="1" ht="19.5" customHeight="1" x14ac:dyDescent="0.15">
      <c r="A5" s="42" t="str">
        <f>HLOOKUP($A$4,'Auto Responses'!$D$2:$D$8,2,0)&amp;""</f>
      </c>
      <c r="B5" s="16"/>
      <c r="C5" s="67"/>
      <c r="D5" s="304"/>
      <c r="E5" s="16"/>
      <c r="F5" s="256"/>
      <c r="I5" s="35"/>
    </row>
    <row r="6" spans="1:12" s="1" customFormat="1" ht="19.5" customHeight="1" x14ac:dyDescent="0.15">
      <c r="A6" s="42" t="str">
        <f>HLOOKUP($A$4,'Auto Responses'!$D$2:$D$8,3,0)&amp;""</f>
      </c>
      <c r="B6" s="16"/>
      <c r="C6" s="67"/>
      <c r="D6" s="304"/>
      <c r="E6" s="16"/>
      <c r="F6" s="257"/>
      <c r="I6" s="35"/>
    </row>
    <row r="7" spans="1:12"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2" s="1" customFormat="1" ht="19.5" customHeight="1" x14ac:dyDescent="0.15">
      <c r="A8" s="42" t="str">
        <f>HLOOKUP($A$4,'Auto Responses'!$D$2:$D$8,5,0)&amp;""</f>
      </c>
      <c r="B8" s="16"/>
      <c r="C8" s="67"/>
      <c r="D8" s="304"/>
      <c r="E8" s="16"/>
      <c r="F8" s="257"/>
      <c r="I8" s="35"/>
    </row>
    <row r="9" spans="1:12" s="1" customFormat="1" ht="19.5" customHeight="1" x14ac:dyDescent="0.15">
      <c r="A9" s="42" t="str">
        <f>HLOOKUP($A$4,'Auto Responses'!$D$2:$D$8,6,0)&amp;""</f>
      </c>
      <c r="B9" s="16"/>
      <c r="C9" s="67"/>
      <c r="D9" s="304"/>
      <c r="E9" s="16"/>
      <c r="F9" s="257"/>
      <c r="I9" s="35"/>
    </row>
    <row r="10" spans="1:12" s="1" customFormat="1" ht="19.5" customHeight="1" x14ac:dyDescent="0.15">
      <c r="A10" s="243" t="str">
        <f>HLOOKUP($A$4,'Auto Responses'!$D$2:$D$8,7,0)&amp;""</f>
      </c>
      <c r="B10" s="16"/>
      <c r="C10" s="67"/>
      <c r="D10" s="304"/>
      <c r="E10" s="16"/>
      <c r="F10" s="257"/>
      <c r="I10" s="35"/>
    </row>
    <row r="11" spans="1:12" s="1" customFormat="1" ht="19.5" customHeight="1" x14ac:dyDescent="0.15">
      <c r="A11" s="360" t="str">
        <f>HLOOKUP($A$4,'Auto Responses'!$D$2:$D$9,8,0)&amp;""</f>
      </c>
      <c r="B11" s="16"/>
      <c r="C11" s="67"/>
      <c r="D11" s="304"/>
      <c r="E11" s="16"/>
      <c r="F11" s="258"/>
      <c r="I11" s="35"/>
    </row>
    <row r="12" spans="1:12" s="1" customFormat="1" ht="36" customHeight="1" x14ac:dyDescent="0.15">
      <c r="A12" s="63" t="str">
        <f>VLOOKUP(LEFT($A13,4),'Auto Responses'!$N$4:$O$38,2,0)&amp;""</f>
        <v xml:space="preserve"> General Information</v>
      </c>
      <c r="B12" s="12"/>
      <c r="C12" s="13" t="s">
        <v>1495</v>
      </c>
      <c r="D12" s="305"/>
      <c r="E12" s="17"/>
      <c r="F12" s="17"/>
      <c r="I12" s="35"/>
      <c r="J12" s="35"/>
    </row>
    <row r="13" spans="1:12" s="1" customFormat="1" ht="22.5" customHeight="1" x14ac:dyDescent="0.15">
      <c r="A13" s="19" t="s">
        <v>21</v>
      </c>
      <c r="B13" s="20">
        <f>VLOOKUP($A13,Questions!$A$2:$X$333,2,0)&amp;""</f>
      </c>
      <c r="C13" s="75">
        <f>VLOOKUP($A13,'START HERE'!$A$13:$C$21,3,0)&amp;""</f>
      </c>
      <c r="D13" s="32"/>
      <c r="E13" s="32"/>
      <c r="F13" s="50"/>
      <c r="I13" s="35"/>
      <c r="J13" s="35"/>
    </row>
    <row r="14" spans="1:12" s="1" customFormat="1" ht="22.5" customHeight="1" x14ac:dyDescent="0.15">
      <c r="A14" s="19" t="s">
        <v>24</v>
      </c>
      <c r="B14" s="20">
        <f>VLOOKUP($A14,Questions!$A$2:$X$333,2,0)&amp;""</f>
      </c>
      <c r="C14" s="75">
        <f>VLOOKUP($A14,'START HERE'!$A$13:$C$21,3,0)&amp;""</f>
      </c>
      <c r="D14" s="32"/>
      <c r="E14" s="32"/>
      <c r="F14" s="50"/>
      <c r="I14" s="35"/>
      <c r="J14" s="35"/>
    </row>
    <row r="15" spans="1:12" s="1" customFormat="1" ht="22.5" customHeight="1" x14ac:dyDescent="0.15">
      <c r="A15" s="19" t="s">
        <v>25</v>
      </c>
      <c r="B15" s="20">
        <f>VLOOKUP($A15,Questions!$A$2:$X$333,2,0)&amp;""</f>
      </c>
      <c r="C15" s="75">
        <f>VLOOKUP($A15,'START HERE'!$A$13:$C$21,3,0)&amp;""</f>
      </c>
      <c r="D15" s="32"/>
      <c r="E15" s="32"/>
      <c r="F15" s="50"/>
      <c r="I15" s="35"/>
      <c r="J15" s="35"/>
    </row>
    <row r="16" spans="1:12" s="1" customFormat="1" ht="22.5" customHeight="1" thickBot="1" x14ac:dyDescent="0.2">
      <c r="A16" s="19" t="s">
        <v>30</v>
      </c>
      <c r="B16" s="20">
        <f>VLOOKUP($A16,Questions!$A$2:$X$333,2,0)&amp;""</f>
      </c>
      <c r="C16" s="75">
        <f>VLOOKUP($A16,'START HERE'!$A$13:$C$21,3,0)&amp;""</f>
      </c>
      <c r="D16" s="32"/>
      <c r="E16" s="32"/>
      <c r="F16" s="50"/>
      <c r="I16" s="35"/>
      <c r="J16" s="35"/>
    </row>
    <row r="17" spans="1:10" s="1" customFormat="1" ht="37.5" customHeight="1" thickBot="1" x14ac:dyDescent="0.2">
      <c r="A17" s="63" t="str">
        <f>VLOOKUP(LEFT($A18,4),'Auto Responses'!$N$4:$O$38,2,0)&amp;""</f>
        <v xml:space="preserve"> Required Questions</v>
      </c>
      <c r="B17" s="22"/>
      <c r="C17" s="13" t="s">
        <v>1495</v>
      </c>
      <c r="D17" s="13"/>
      <c r="E17" s="31" t="s">
        <v>848</v>
      </c>
      <c r="F17" s="186" t="s">
        <v>849</v>
      </c>
      <c r="I17" s="35"/>
      <c r="J17" s="35"/>
    </row>
    <row r="18" spans="1:10" s="1" customFormat="1" ht="31" thickBot="1" x14ac:dyDescent="0.2">
      <c r="A18" s="19" t="s">
        <v>48</v>
      </c>
      <c r="B18" s="18">
        <f>VLOOKUP($A18,Questions!$A$2:$X$333,2,0)</f>
      </c>
      <c r="C18" s="72">
        <f>VLOOKUP($A18,'START HERE'!$A$23:$F$36,3,0)&amp;""</f>
      </c>
      <c r="D18" s="309">
        <f>VLOOKUP($A18,'START HERE'!$A$23:$F$36,4,0)&amp;""</f>
      </c>
      <c r="E18" s="166">
        <f>IF($C18='Auto Responses'!$J$3,VLOOKUP($A18,Questions!$A$2:$X$333,17,0)&amp;"",IF($C18='Auto Responses'!$J$4,VLOOKUP($A18,Questions!$A$2:$X$333,16,0)&amp;"",VLOOKUP($A18,Questions!$A$2:$X$333,15,0)&amp;""))</f>
      </c>
      <c r="F18" s="200">
        <f>VLOOKUP($A18,'Institution Evaluation'!$A$56:$F$345,6,0)&amp;""</f>
      </c>
      <c r="G18" s="235" t="s">
        <v>1448</v>
      </c>
      <c r="I18" s="35"/>
      <c r="J18" s="35"/>
    </row>
    <row r="19" spans="1:10" s="1" customFormat="1" ht="37.5" customHeight="1" thickBot="1" x14ac:dyDescent="0.2">
      <c r="A19" s="63" t="str">
        <f>VLOOKUP(LEFT($A20,4),'Auto Responses'!$N$4:$O$38,2,0)&amp;""</f>
        <v xml:space="preserve"> Application/Service Security</v>
      </c>
      <c r="B19" s="22"/>
      <c r="C19" s="13" t="s">
        <v>1495</v>
      </c>
      <c r="D19" s="13" t="s">
        <v>72</v>
      </c>
      <c r="E19" s="31" t="s">
        <v>848</v>
      </c>
      <c r="F19" s="186" t="s">
        <v>849</v>
      </c>
      <c r="I19" s="35"/>
      <c r="J19" s="35"/>
    </row>
    <row r="20" spans="1:10" s="1" customFormat="1" ht="97.5" customHeight="1" x14ac:dyDescent="0.15">
      <c r="A20" s="19" t="s">
        <v>161</v>
      </c>
      <c r="B20" s="18">
        <f>VLOOKUP($A20,Questions!$A$2:$X$333,2,0)</f>
      </c>
      <c r="C20" s="21" t="s">
        <v>40</v>
      </c>
      <c r="D20" s="310" t="s">
        <v>1988</v>
      </c>
      <c r="E20" s="166">
        <f>IF($C$18='Auto Responses'!$J$4,'Auto Responses'!$A$3,IF($C20='Auto Responses'!$J$3,VLOOKUP($A20,Questions!$A$2:$X$333,17,0)&amp;"",IF($C20='Auto Responses'!$J$4,VLOOKUP($A20,Questions!$A$2:$X$333,16,0)&amp;"",VLOOKUP($A20,Questions!$A$2:$X$333,15,0)&amp;"")))</f>
      </c>
      <c r="F20" s="200">
        <f>VLOOKUP($A20,'Institution Evaluation'!$A$56:$F$345,6,0)&amp;""</f>
      </c>
      <c r="I20" s="35"/>
      <c r="J20" s="35"/>
    </row>
    <row r="21" spans="1:10" s="1" customFormat="1" ht="120.75" customHeight="1" x14ac:dyDescent="0.15">
      <c r="A21" s="19" t="s">
        <v>166</v>
      </c>
      <c r="B21" s="18">
        <f>VLOOKUP($A21,Questions!$A$2:$X$333,2,0)</f>
      </c>
      <c r="C21" s="21" t="s">
        <v>148</v>
      </c>
      <c r="D21" s="310"/>
      <c r="E21" s="166" t="str">
        <f>IF($C$18='Auto Responses'!$J$4,'Auto Responses'!$A$3,IF($C21='Auto Responses'!$J$3,VLOOKUP($A21,Questions!$A$2:$X$333,17,0)&amp;"",IF($C21='Auto Responses'!$J$4,VLOOKUP($A21,Questions!$A$2:$X$333,16,0)&amp;"",VLOOKUP($A21,Questions!$A$2:$X$333,15,0)&amp;"")))</f>
      </c>
      <c r="F21" s="200">
        <f>VLOOKUP($A21,'Institution Evaluation'!$A$56:$F$345,6,0)&amp;""</f>
      </c>
      <c r="I21" s="35"/>
      <c r="J21" s="35"/>
    </row>
    <row r="22" spans="1:10" s="1" customFormat="1" ht="66.75" customHeight="1" x14ac:dyDescent="0.15">
      <c r="A22" s="19" t="s">
        <v>170</v>
      </c>
      <c r="B22" s="18">
        <f>VLOOKUP($A22,Questions!$A$2:$X$333,2,0)</f>
      </c>
      <c r="C22" s="21" t="s">
        <v>148</v>
      </c>
      <c r="D22" s="310"/>
      <c r="E22" s="166" t="str">
        <f>IF($C$18='Auto Responses'!$J$4,'Auto Responses'!$A$3,IF($C22='Auto Responses'!$J$3,VLOOKUP($A22,Questions!$A$2:$X$333,17,0)&amp;"",IF($C22='Auto Responses'!$J$4,VLOOKUP($A22,Questions!$A$2:$X$333,16,0)&amp;"",VLOOKUP($A22,Questions!$A$2:$X$333,15,0)&amp;"")))</f>
      </c>
      <c r="F22" s="200">
        <f>VLOOKUP($A22,'Institution Evaluation'!$A$56:$F$345,6,0)&amp;""</f>
      </c>
      <c r="I22" s="35"/>
      <c r="J22" s="35"/>
    </row>
    <row r="23" spans="1:10" s="1" customFormat="1" ht="38.25" customHeight="1" x14ac:dyDescent="0.15">
      <c r="A23" s="19" t="s">
        <v>175</v>
      </c>
      <c r="B23" s="18">
        <f>VLOOKUP($A23,Questions!$A$2:$X$333,2,0)</f>
      </c>
      <c r="C23" s="21" t="s">
        <v>148</v>
      </c>
      <c r="D23" s="310"/>
      <c r="E23" s="166" t="str">
        <f>IF($C$18='Auto Responses'!$J$4,'Auto Responses'!$A$3,IF($C23='Auto Responses'!$J$3,VLOOKUP($A23,Questions!$A$2:$X$333,17,0)&amp;"",IF($C23='Auto Responses'!$J$4,VLOOKUP($A23,Questions!$A$2:$X$333,16,0)&amp;"",VLOOKUP($A23,Questions!$A$2:$X$333,15,0)&amp;"")))</f>
      </c>
      <c r="F23" s="200">
        <f>VLOOKUP($A23,'Institution Evaluation'!$A$56:$F$345,6,0)&amp;""</f>
      </c>
      <c r="I23" s="35"/>
      <c r="J23" s="35"/>
    </row>
    <row r="24" spans="1:10" s="1" customFormat="1" ht="50.25" customHeight="1" x14ac:dyDescent="0.15">
      <c r="A24" s="19" t="s">
        <v>178</v>
      </c>
      <c r="B24" s="18">
        <f>VLOOKUP($A24,Questions!$A$2:$X$333,2,0)</f>
      </c>
      <c r="C24" s="21" t="s">
        <v>40</v>
      </c>
      <c r="D24" s="310" t="s">
        <v>1990</v>
      </c>
      <c r="E24" s="166">
        <f>IF($C$18='Auto Responses'!$J$4,'Auto Responses'!$A$3,IF($C24='Auto Responses'!$J$3,VLOOKUP($A24,Questions!$A$2:$X$333,17,0)&amp;"",IF($C24='Auto Responses'!$J$4,VLOOKUP($A24,Questions!$A$2:$X$333,16,0)&amp;"",VLOOKUP($A24,Questions!$A$2:$X$333,15,0)&amp;"")))</f>
      </c>
      <c r="F24" s="200">
        <f>VLOOKUP($A24,'Institution Evaluation'!$A$56:$F$345,6,0)&amp;""</f>
      </c>
      <c r="I24" s="35"/>
      <c r="J24" s="35"/>
    </row>
    <row r="25" spans="1:10" s="1" customFormat="1" ht="57.75" customHeight="1" x14ac:dyDescent="0.15">
      <c r="A25" s="19" t="s">
        <v>182</v>
      </c>
      <c r="B25" s="18">
        <f>VLOOKUP($A25,Questions!$A$2:$X$333,2,0)</f>
      </c>
      <c r="C25" s="21" t="s">
        <v>148</v>
      </c>
      <c r="D25" s="310"/>
      <c r="E25" s="166" t="str">
        <f>IF($C$18='Auto Responses'!$J$4,'Auto Responses'!$A$3,IF($C25='Auto Responses'!$J$3,VLOOKUP($A25,Questions!$A$2:$X$333,17,0)&amp;"",IF($C25='Auto Responses'!$J$4,VLOOKUP($A25,Questions!$A$2:$X$333,16,0)&amp;"",VLOOKUP($A25,Questions!$A$2:$X$333,15,0)&amp;"")))</f>
      </c>
      <c r="F25" s="200">
        <f>VLOOKUP($A25,'Institution Evaluation'!$A$56:$F$345,6,0)&amp;""</f>
      </c>
      <c r="I25" s="35"/>
      <c r="J25" s="35"/>
    </row>
    <row r="26" spans="1:10" s="1" customFormat="1" ht="38.25" customHeight="1" x14ac:dyDescent="0.15">
      <c r="A26" s="19" t="s">
        <v>186</v>
      </c>
      <c r="B26" s="18">
        <f>VLOOKUP($A26,Questions!$A$2:$X$333,2,0)</f>
      </c>
      <c r="C26" s="21" t="s">
        <v>40</v>
      </c>
      <c r="D26" s="310" t="s">
        <v>1992</v>
      </c>
      <c r="E26" s="166">
        <f>IF($C$18='Auto Responses'!$J$4,'Auto Responses'!$A$3,IF($C26='Auto Responses'!$J$3,VLOOKUP($A26,Questions!$A$2:$X$333,17,0)&amp;"",IF($C26='Auto Responses'!$J$4,VLOOKUP($A26,Questions!$A$2:$X$333,16,0)&amp;"",VLOOKUP($A26,Questions!$A$2:$X$333,15,0)&amp;"")))</f>
      </c>
      <c r="F26" s="200">
        <f>VLOOKUP($A26,'Institution Evaluation'!$A$56:$F$345,6,0)&amp;""</f>
      </c>
      <c r="I26" s="35"/>
      <c r="J26" s="35"/>
    </row>
    <row r="27" spans="1:10" s="1" customFormat="1" ht="111" customHeight="1" x14ac:dyDescent="0.15">
      <c r="A27" s="19" t="s">
        <v>191</v>
      </c>
      <c r="B27" s="18">
        <f>VLOOKUP($A27,Questions!$A$2:$X$333,2,0)</f>
      </c>
      <c r="C27" s="21" t="s">
        <v>148</v>
      </c>
      <c r="D27" s="310"/>
      <c r="E27" s="166" t="str">
        <f>IF($C$18='Auto Responses'!$J$4,'Auto Responses'!$A$3,IF($C27='Auto Responses'!$J$3,VLOOKUP($A27,Questions!$A$2:$X$333,17,0)&amp;"",IF($C27='Auto Responses'!$J$4,VLOOKUP($A27,Questions!$A$2:$X$333,16,0)&amp;"",VLOOKUP($A27,Questions!$A$2:$X$333,15,0)&amp;"")))</f>
      </c>
      <c r="F27" s="200">
        <f>VLOOKUP($A27,'Institution Evaluation'!$A$56:$F$345,6,0)&amp;""</f>
      </c>
      <c r="I27" s="35"/>
      <c r="J27" s="35"/>
    </row>
    <row r="28" spans="1:10" s="1" customFormat="1" ht="38.25" customHeight="1" x14ac:dyDescent="0.15">
      <c r="A28" s="19" t="s">
        <v>195</v>
      </c>
      <c r="B28" s="18">
        <f>VLOOKUP($A28,Questions!$A$2:$X$333,2,0)</f>
      </c>
      <c r="C28" s="21" t="s">
        <v>40</v>
      </c>
      <c r="D28" s="310" t="s">
        <v>1994</v>
      </c>
      <c r="E28" s="166">
        <f>IF($C$18='Auto Responses'!$J$4,'Auto Responses'!$A$3,IF($C28='Auto Responses'!$J$3,VLOOKUP($A28,Questions!$A$2:$X$333,17,0)&amp;"",IF($C28='Auto Responses'!$J$4,VLOOKUP($A28,Questions!$A$2:$X$333,16,0)&amp;"",VLOOKUP($A28,Questions!$A$2:$X$333,15,0)&amp;"")))</f>
      </c>
      <c r="F28" s="200">
        <f>VLOOKUP($A28,'Institution Evaluation'!$A$56:$F$345,6,0)&amp;""</f>
      </c>
      <c r="I28" s="35"/>
      <c r="J28" s="35"/>
    </row>
    <row r="29" spans="1:10" s="1" customFormat="1" ht="51.75" customHeight="1" x14ac:dyDescent="0.15">
      <c r="A29" s="19" t="s">
        <v>198</v>
      </c>
      <c r="B29" s="18">
        <f>VLOOKUP($A29,Questions!$A$2:$X$333,2,0)</f>
      </c>
      <c r="C29" s="21" t="s">
        <v>148</v>
      </c>
      <c r="D29" s="310"/>
      <c r="E29" s="166" t="str">
        <f>IF($C$18='Auto Responses'!$J$4,'Auto Responses'!$A$3,IF($C29='Auto Responses'!$J$3,VLOOKUP($A29,Questions!$A$2:$X$333,17,0)&amp;"",IF($C29='Auto Responses'!$J$4,VLOOKUP($A29,Questions!$A$2:$X$333,16,0)&amp;"",VLOOKUP($A29,Questions!$A$2:$X$333,15,0)&amp;"")))</f>
      </c>
      <c r="F29" s="200">
        <f>VLOOKUP($A29,'Institution Evaluation'!$A$56:$F$345,6,0)&amp;""</f>
      </c>
      <c r="I29" s="35"/>
      <c r="J29" s="35"/>
    </row>
    <row r="30" spans="1:10" s="1" customFormat="1" ht="38.25" customHeight="1" x14ac:dyDescent="0.15">
      <c r="A30" s="19" t="s">
        <v>202</v>
      </c>
      <c r="B30" s="18">
        <f>VLOOKUP($A30,Questions!$A$2:$X$333,2,0)</f>
      </c>
      <c r="C30" s="21" t="s">
        <v>148</v>
      </c>
      <c r="D30" s="310"/>
      <c r="E30" s="166" t="str">
        <f>IF($C$18='Auto Responses'!$J$4,'Auto Responses'!$A$3,IF($C30='Auto Responses'!$J$3,VLOOKUP($A30,Questions!$A$2:$X$333,17,0)&amp;"",IF($C30='Auto Responses'!$J$4,VLOOKUP($A30,Questions!$A$2:$X$333,16,0)&amp;"",VLOOKUP($A30,Questions!$A$2:$X$333,15,0)&amp;"")))</f>
      </c>
      <c r="F30" s="200">
        <f>VLOOKUP($A30,'Institution Evaluation'!$A$56:$F$345,6,0)&amp;""</f>
      </c>
      <c r="I30" s="35"/>
      <c r="J30" s="35"/>
    </row>
    <row r="31" spans="1:10" s="1" customFormat="1" ht="45.75" customHeight="1" x14ac:dyDescent="0.15">
      <c r="A31" s="19" t="s">
        <v>206</v>
      </c>
      <c r="B31" s="18">
        <f>VLOOKUP($A31,Questions!$A$2:$X$333,2,0)</f>
      </c>
      <c r="C31" s="21" t="s">
        <v>148</v>
      </c>
      <c r="D31" s="311" t="s">
        <v>1996</v>
      </c>
      <c r="E31" s="166">
        <f>IF($C$18='Auto Responses'!$J$4,'Auto Responses'!$A$3,IF($C31='Auto Responses'!$J$3,VLOOKUP($A31,Questions!$A$2:$X$333,17,0)&amp;"",IF($C31='Auto Responses'!$J$4,VLOOKUP($A31,Questions!$A$2:$X$333,16,0)&amp;"",VLOOKUP($A31,Questions!$A$2:$X$333,15,0)&amp;"")))</f>
      </c>
      <c r="F31" s="200">
        <f>VLOOKUP($A31,'Institution Evaluation'!$A$56:$F$345,6,0)&amp;""</f>
      </c>
      <c r="I31" s="35"/>
      <c r="J31" s="35"/>
    </row>
    <row r="32" spans="1:10" s="1" customFormat="1" ht="48" customHeight="1" x14ac:dyDescent="0.15">
      <c r="A32" s="19" t="s">
        <v>210</v>
      </c>
      <c r="B32" s="18">
        <f>VLOOKUP($A32,Questions!$A$2:$X$333,2,0)</f>
      </c>
      <c r="C32" s="21" t="s">
        <v>1525</v>
      </c>
      <c r="D32" s="311" t="s">
        <v>1997</v>
      </c>
      <c r="E32" s="166">
        <f>IF($C$18='Auto Responses'!$J$4,'Auto Responses'!$A$3,IF($C32='Auto Responses'!$J$3,VLOOKUP($A32,Questions!$A$2:$X$333,17,0)&amp;"",IF($C32='Auto Responses'!$J$4,VLOOKUP($A32,Questions!$A$2:$X$333,16,0)&amp;"",IF($C32='Auto Responses'!$J$5,VLOOKUP($A32,Questions!$A$2:$X$333,18,0)&amp;"",VLOOKUP($A32,Questions!$A$2:$X$333,15,0)&amp;""))))</f>
      </c>
      <c r="F32" s="200">
        <f>VLOOKUP($A32,'Institution Evaluation'!$A$56:$F$345,6,0)&amp;""</f>
      </c>
      <c r="I32" s="35"/>
      <c r="J32" s="35"/>
    </row>
    <row r="33" spans="1:10" s="1" customFormat="1" ht="61.5" customHeight="1" thickBot="1" x14ac:dyDescent="0.2">
      <c r="A33" s="19" t="s">
        <v>213</v>
      </c>
      <c r="B33" s="18">
        <f>VLOOKUP($A33,Questions!$A$2:$X$333,2,0)</f>
      </c>
      <c r="C33" s="21" t="inlineStr">
        <is>
          <t xml:space="preserve">Yes</t>
        </is>
      </c>
      <c r="D33" s="311" t="inlineStr">
        <is>
          <t xml:space="preserve">Administrative access is granted only by the security owner (Marc Diaz, Founder), on least privilege, with MFA required and quarterly access reviews (Information Security Policy §4).</t>
        </is>
      </c>
      <c r="E33" s="166">
        <f>IF($C$18='Auto Responses'!$J$4,'Auto Responses'!$A$3,IF($C33='Auto Responses'!$J$3,VLOOKUP($A33,Questions!$A$2:$X$333,17,0)&amp;"",IF($C33='Auto Responses'!$J$4,VLOOKUP($A33,Questions!$A$2:$X$333,16,0)&amp;"",VLOOKUP($A33,Questions!$A$2:$X$333,15,0)&amp;"")))</f>
      </c>
      <c r="F33" s="200">
        <f>VLOOKUP($A33,'Institution Evaluation'!$A$56:$F$345,6,0)&amp;""</f>
      </c>
      <c r="G33" s="235" t="s">
        <v>1448</v>
      </c>
      <c r="I33" s="35"/>
      <c r="J33" s="35"/>
    </row>
    <row r="34" spans="1:10" s="1" customFormat="1" ht="37.5" customHeight="1" thickBot="1" x14ac:dyDescent="0.2">
      <c r="A34" s="63" t="str">
        <f>VLOOKUP(LEFT($A35,4),'Auto Responses'!$N$4:$O$38,2,0)&amp;""</f>
        <v xml:space="preserve"> Datacenter</v>
      </c>
      <c r="B34" s="22"/>
      <c r="C34" s="13" t="s">
        <v>1495</v>
      </c>
      <c r="D34" s="13" t="s">
        <v>72</v>
      </c>
      <c r="E34" s="31" t="s">
        <v>848</v>
      </c>
      <c r="F34" s="186" t="s">
        <v>849</v>
      </c>
      <c r="I34" s="35"/>
      <c r="J34" s="35"/>
    </row>
    <row r="35" spans="1:10" s="1" customFormat="1" ht="84" customHeight="1" x14ac:dyDescent="0.15">
      <c r="A35" s="19" t="s">
        <v>407</v>
      </c>
      <c r="B35" s="18">
        <f>VLOOKUP($A35,Questions!$A$2:$X$333,2,0)</f>
      </c>
      <c r="C35" s="73" t="s">
        <v>862</v>
      </c>
      <c r="D35" s="311" t="s">
        <v>1998</v>
      </c>
      <c r="E35" s="166">
        <f>IF(OR($C35="",$C35="Other"),VLOOKUP($A35,Questions!$A$2:$X$333,15,0),"")&amp;""</f>
      </c>
      <c r="F35" s="200">
        <f>VLOOKUP($A35,'Institution Evaluation'!$A$56:$F$345,6,0)&amp;""</f>
      </c>
      <c r="I35" s="35"/>
      <c r="J35" s="35"/>
    </row>
    <row r="36" spans="1:10" s="1" customFormat="1" ht="53.25" customHeight="1" x14ac:dyDescent="0.15">
      <c r="A36" s="19" t="s">
        <v>412</v>
      </c>
      <c r="B36" s="18">
        <f>VLOOKUP($A36,Questions!$A$2:$X$333,2,0)</f>
      </c>
      <c r="C36" s="21" t="s">
        <v>40</v>
      </c>
      <c r="D36" s="311" t="s">
        <v>1999</v>
      </c>
      <c r="E36" s="166">
        <f>IF($C$35="","",IF(OR($C$35='Auto Responses'!$J$20,$C$35='Auto Responses'!$J$21,$C$35='Auto Responses'!$J$22),'Auto Responses'!$A$26,IF($C36='Auto Responses'!$J$3,VLOOKUP($A36,Questions!$A$2:$X$333,17,0)&amp;"",IF($C36='Auto Responses'!$J$4,VLOOKUP($A36,Questions!$A$2:$X$333,16,0)&amp;"",VLOOKUP($A36,Questions!$A$2:$X$333,15,0)&amp;""))))</f>
      </c>
      <c r="F36" s="200">
        <f>VLOOKUP($A36,'Institution Evaluation'!$A$56:$F$345,6,0)&amp;""</f>
      </c>
      <c r="I36" s="35"/>
      <c r="J36" s="35"/>
    </row>
    <row r="37" spans="1:10" s="1" customFormat="1" ht="58.5" customHeight="1" x14ac:dyDescent="0.15">
      <c r="A37" s="19" t="s">
        <v>414</v>
      </c>
      <c r="B37" s="18">
        <f>VLOOKUP($A37,Questions!$A$2:$X$333,2,0)</f>
      </c>
      <c r="C37" s="21" t="s">
        <v>40</v>
      </c>
      <c r="D37" s="311" t="s">
        <v>2000</v>
      </c>
      <c r="E37" s="166">
        <f>IF($C$35="","",IF($C37='Auto Responses'!$J$3,VLOOKUP($A37,Questions!$A$2:$X$333,17,0)&amp;"",IF($C37='Auto Responses'!$J$4,VLOOKUP($A37,Questions!$A$2:$X$333,16,0)&amp;"",VLOOKUP($A37,Questions!$A$2:$X$333,15,0)&amp;"")))</f>
      </c>
      <c r="F37" s="200">
        <f>VLOOKUP($A37,'Institution Evaluation'!$A$56:$F$345,6,0)&amp;""</f>
      </c>
      <c r="I37" s="35"/>
      <c r="J37" s="35"/>
    </row>
    <row r="38" spans="1:10" s="1" customFormat="1" ht="53.25" customHeight="1" x14ac:dyDescent="0.15">
      <c r="A38" s="19" t="s">
        <v>417</v>
      </c>
      <c r="B38" s="18">
        <f>VLOOKUP($A38,Questions!$A$2:$X$333,2,0)</f>
      </c>
      <c r="C38" s="21" t="s">
        <v>40</v>
      </c>
      <c r="D38" s="311" t="s">
        <v>2001</v>
      </c>
      <c r="E38" s="166">
        <f>IF($C$35="","",IF(OR($C$35='Auto Responses'!$J$20,$C$35='Auto Responses'!$J$21,$C$35='Auto Responses'!$J$22),'Auto Responses'!$A$26,IF($C38='Auto Responses'!$J$3,VLOOKUP($A38,Questions!$A$2:$X$333,17,0)&amp;"",IF($C38='Auto Responses'!$J$4,VLOOKUP($A38,Questions!$A$2:$X$333,16,0)&amp;"",VLOOKUP($A38,Questions!$A$2:$X$333,15,0)&amp;""))))</f>
      </c>
      <c r="F38" s="200">
        <f>VLOOKUP($A38,'Institution Evaluation'!$A$56:$F$345,6,0)&amp;""</f>
      </c>
      <c r="I38" s="35"/>
      <c r="J38" s="35"/>
    </row>
    <row r="39" spans="1:10" s="1" customFormat="1" ht="55.5" customHeight="1" x14ac:dyDescent="0.15">
      <c r="A39" s="19" t="s">
        <v>422</v>
      </c>
      <c r="B39" s="18">
        <f>VLOOKUP($A39,Questions!$A$2:$X$333,2,0)</f>
      </c>
      <c r="C39" s="21" t="s">
        <v>40</v>
      </c>
      <c r="D39" s="311" t="s">
        <v>2001</v>
      </c>
      <c r="E39" s="166">
        <f>IF($C$35="","",IF(OR($C$35='Auto Responses'!$J$17,$C$35='Auto Responses'!$J$19,$C$35='Auto Responses'!$J$20,$C$35='Auto Responses'!$J$21,$C$35='Auto Responses'!$J$22),'Auto Responses'!$A$26,IF($C39='Auto Responses'!$J$3,VLOOKUP($A39,Questions!$A$2:$X$333,17,0)&amp;"",IF($C39='Auto Responses'!$J$4,VLOOKUP($A39,Questions!$A$2:$X$333,16,0)&amp;"",VLOOKUP($A39,Questions!$A$2:$X$333,15,0)&amp;""))))</f>
      </c>
      <c r="F39" s="200">
        <f>VLOOKUP($A39,'Institution Evaluation'!$A$56:$F$345,6,0)&amp;""</f>
      </c>
      <c r="I39" s="35"/>
      <c r="J39" s="35"/>
    </row>
    <row r="40" spans="1:10" s="1" customFormat="1" ht="56.25" customHeight="1" x14ac:dyDescent="0.15">
      <c r="A40" s="19" t="s">
        <v>425</v>
      </c>
      <c r="B40" s="18">
        <f>VLOOKUP($A40,Questions!$A$2:$X$333,2,0)</f>
      </c>
      <c r="C40" s="21" t="s">
        <v>40</v>
      </c>
      <c r="D40" s="311" t="s">
        <v>2001</v>
      </c>
      <c r="E40" s="166">
        <f>IF($C$35="","",IF(OR($C$35='Auto Responses'!$J$19,$C$35='Auto Responses'!$J$20,$C$35='Auto Responses'!$J$21,$C$35='Auto Responses'!$J$22),'Auto Responses'!$A$26,IF($C40='Auto Responses'!$J$3,VLOOKUP($A40,Questions!$A$2:$X$333,17,0)&amp;"",IF($C40='Auto Responses'!$J$4,VLOOKUP($A40,Questions!$A$2:$X$333,16,0)&amp;"",VLOOKUP($A40,Questions!$A$2:$X$333,15,0)&amp;""))))</f>
      </c>
      <c r="F40" s="200">
        <f>VLOOKUP($A40,'Institution Evaluation'!$A$56:$F$345,6,0)&amp;""</f>
      </c>
      <c r="I40" s="35"/>
      <c r="J40" s="35"/>
    </row>
    <row r="41" spans="1:10" s="1" customFormat="1" ht="48.75" customHeight="1" x14ac:dyDescent="0.15">
      <c r="A41" s="19" t="s">
        <v>427</v>
      </c>
      <c r="B41" s="18">
        <f>VLOOKUP($A41,Questions!$A$2:$X$333,2,0)</f>
      </c>
      <c r="C41" s="21" t="s">
        <v>148</v>
      </c>
      <c r="D41" s="311"/>
      <c r="E41" s="166" t="str">
        <f>IF($C$35="","",IF($C41='Auto Responses'!$J$3,VLOOKUP($A41,Questions!$A$2:$X$333,17,0)&amp;"",IF($C41='Auto Responses'!$J$4,VLOOKUP($A41,Questions!$A$2:$X$333,16,0)&amp;"",VLOOKUP($A41,Questions!$A$2:$X$333,15,0)&amp;"")))</f>
      </c>
      <c r="F41" s="200">
        <f>VLOOKUP($A41,'Institution Evaluation'!$A$56:$F$345,6,0)&amp;""</f>
      </c>
      <c r="I41" s="35"/>
      <c r="J41" s="35"/>
    </row>
    <row r="42" spans="1:10" s="1" customFormat="1" ht="48" customHeight="1" x14ac:dyDescent="0.15">
      <c r="A42" s="19" t="s">
        <v>432</v>
      </c>
      <c r="B42" s="18">
        <f>VLOOKUP($A42,Questions!$A$2:$X$333,2,0)</f>
      </c>
      <c r="C42" s="21" t="s">
        <v>148</v>
      </c>
      <c r="D42" s="311"/>
      <c r="E42" s="166" t="str">
        <f>IF($C$35="","",IF($C42='Auto Responses'!$J$3,VLOOKUP($A42,Questions!$A$2:$X$333,17,0)&amp;"",IF($C42='Auto Responses'!$J$4,VLOOKUP($A42,Questions!$A$2:$X$333,16,0)&amp;"",VLOOKUP($A42,Questions!$A$2:$X$333,15,0)&amp;"")))</f>
      </c>
      <c r="F42" s="200">
        <f>VLOOKUP($A42,'Institution Evaluation'!$A$56:$F$345,6,0)&amp;""</f>
      </c>
      <c r="I42" s="35"/>
      <c r="J42" s="35"/>
    </row>
    <row r="43" spans="1:10" s="1" customFormat="1" ht="55.5" customHeight="1" x14ac:dyDescent="0.15">
      <c r="A43" s="19" t="s">
        <v>433</v>
      </c>
      <c r="B43" s="18">
        <f>VLOOKUP($A43,Questions!$A$2:$X$333,2,0)</f>
      </c>
      <c r="C43" s="21" t="s">
        <v>40</v>
      </c>
      <c r="D43" s="311" t="s">
        <v>2001</v>
      </c>
      <c r="E43" s="166">
        <f>IF($C$35="","",IF(OR($C$35='Auto Responses'!$J$20,$C$35='Auto Responses'!$J$21,$C$35='Auto Responses'!$J$22),'Auto Responses'!$A$26,IF($C43='Auto Responses'!$J$3,VLOOKUP($A43,Questions!$A$2:$X$333,17,0)&amp;"",IF($C43='Auto Responses'!$J$4,VLOOKUP($A43,Questions!$A$2:$X$333,16,0)&amp;"",VLOOKUP($A43,Questions!$A$2:$X$333,15,0)&amp;""))))</f>
      </c>
      <c r="F43" s="200">
        <f>VLOOKUP($A43,'Institution Evaluation'!$A$56:$F$345,6,0)&amp;""</f>
      </c>
      <c r="I43" s="35"/>
      <c r="J43" s="35"/>
    </row>
    <row r="44" spans="1:10" s="1" customFormat="1" ht="56.25" customHeight="1" x14ac:dyDescent="0.15">
      <c r="A44" s="19" t="s">
        <v>434</v>
      </c>
      <c r="B44" s="18">
        <f>VLOOKUP($A44,Questions!$A$2:$X$333,2,0)</f>
      </c>
      <c r="C44" s="21" t="s">
        <v>40</v>
      </c>
      <c r="D44" s="311" t="s">
        <v>2001</v>
      </c>
      <c r="E44" s="166">
        <f>IF($C$35="","",IF(OR($C$35='Auto Responses'!$J$20,$C$35='Auto Responses'!$J$21,$C$35='Auto Responses'!$J$22),'Auto Responses'!$A$26,IF($C44='Auto Responses'!$J$3,VLOOKUP($A44,Questions!$A$2:$X$333,17,0)&amp;"",IF($C44='Auto Responses'!$J$4,VLOOKUP($A44,Questions!$A$2:$X$333,16,0)&amp;"",VLOOKUP($A44,Questions!$A$2:$X$333,15,0)&amp;""))))</f>
      </c>
      <c r="F44" s="200">
        <f>VLOOKUP($A44,'Institution Evaluation'!$A$56:$F$345,6,0)&amp;""</f>
      </c>
      <c r="I44" s="35"/>
      <c r="J44" s="35"/>
    </row>
    <row r="45" spans="1:10" s="1" customFormat="1" ht="60" customHeight="1" x14ac:dyDescent="0.15">
      <c r="A45" s="19" t="s">
        <v>439</v>
      </c>
      <c r="B45" s="18">
        <f>VLOOKUP($A45,Questions!$A$2:$X$333,2,0)</f>
      </c>
      <c r="C45" s="21" t="s">
        <v>40</v>
      </c>
      <c r="D45" s="311" t="s">
        <v>2001</v>
      </c>
      <c r="E45" s="166">
        <f>IF($C$35="","",IF(OR($C$35='Auto Responses'!$J$19,$C$35='Auto Responses'!$J$20,$C$35='Auto Responses'!$J$21,$C$35='Auto Responses'!$J$22,$C$35='Auto Responses'!$J$23),'Auto Responses'!$A$26,IF($C45='Auto Responses'!$J$3,VLOOKUP($A45,Questions!$A$2:$X$333,17,0)&amp;"",IF($C45='Auto Responses'!$J$4,VLOOKUP($A45,Questions!$A$2:$X$333,16,0)&amp;"",VLOOKUP($A45,Questions!$A$2:$X$333,15,0)&amp;""))))</f>
      </c>
      <c r="F45" s="200">
        <f>VLOOKUP($A45,'Institution Evaluation'!$A$56:$F$345,6,0)&amp;""</f>
      </c>
      <c r="I45" s="35"/>
      <c r="J45" s="35"/>
    </row>
    <row r="46" spans="1:10" s="1" customFormat="1" ht="55.5" customHeight="1" x14ac:dyDescent="0.15">
      <c r="A46" s="19" t="s">
        <v>442</v>
      </c>
      <c r="B46" s="18">
        <f>VLOOKUP($A46,Questions!$A$2:$X$333,2,0)</f>
      </c>
      <c r="C46" s="21" t="s">
        <v>40</v>
      </c>
      <c r="D46" s="311" t="s">
        <v>2001</v>
      </c>
      <c r="E46" s="166">
        <f>IF($C$35="","",IF(OR($C$35='Auto Responses'!$J$20,$C$35='Auto Responses'!$J$21,$C$35='Auto Responses'!$J$22),'Auto Responses'!$A$26,IF($C46='Auto Responses'!$J$3,VLOOKUP($A46,Questions!$A$2:$X$333,17,0)&amp;"",IF($C46='Auto Responses'!$J$4,VLOOKUP($A46,Questions!$A$2:$X$333,16,0)&amp;"",VLOOKUP($A46,Questions!$A$2:$X$333,15,0)&amp;""))))</f>
      </c>
      <c r="F46" s="200">
        <f>VLOOKUP($A46,'Institution Evaluation'!$A$56:$F$345,6,0)&amp;""</f>
      </c>
      <c r="I46" s="35"/>
      <c r="J46" s="35"/>
    </row>
    <row r="47" spans="1:10" s="1" customFormat="1" ht="56.25" customHeight="1" x14ac:dyDescent="0.15">
      <c r="A47" s="19" t="s">
        <v>446</v>
      </c>
      <c r="B47" s="18">
        <f>VLOOKUP($A47,Questions!$A$2:$X$333,2,0)</f>
      </c>
      <c r="C47" s="21" t="s">
        <v>40</v>
      </c>
      <c r="D47" s="311" t="s">
        <v>2001</v>
      </c>
      <c r="E47" s="166">
        <f>IF($C$35="","",IF(OR($C$35='Auto Responses'!$J$20,$C$35='Auto Responses'!$J$21,$C$35='Auto Responses'!$J$22),'Auto Responses'!$A$26,IF($C47='Auto Responses'!$J$3,VLOOKUP($A47,Questions!$A$2:$X$333,17,0)&amp;"",IF($C47='Auto Responses'!$J$4,VLOOKUP($A47,Questions!$A$2:$X$333,16,0)&amp;"",VLOOKUP($A47,Questions!$A$2:$X$333,15,0)&amp;""))))</f>
      </c>
      <c r="F47" s="200">
        <f>VLOOKUP($A47,'Institution Evaluation'!$A$56:$F$345,6,0)&amp;""</f>
      </c>
      <c r="I47" s="35"/>
      <c r="J47" s="35"/>
    </row>
    <row r="48" spans="1:10" s="1" customFormat="1" ht="49.5" customHeight="1" x14ac:dyDescent="0.15">
      <c r="A48" s="19" t="s">
        <v>448</v>
      </c>
      <c r="B48" s="18">
        <f>VLOOKUP($A48,Questions!$A$2:$X$333,2,0)</f>
      </c>
      <c r="C48" s="21" t="s">
        <v>40</v>
      </c>
      <c r="D48" s="311" t="s">
        <v>2093</v>
      </c>
      <c r="E48" s="166">
        <f>IF($C$35="","",IF($C48='Auto Responses'!$J$3,VLOOKUP($A48,Questions!$A$2:$X$333,17,0)&amp;"",IF($C48='Auto Responses'!$J$4,VLOOKUP($A48,Questions!$A$2:$X$333,16,0)&amp;"",VLOOKUP($A48,Questions!$A$2:$X$333,15,0)&amp;"")))</f>
      </c>
      <c r="F48" s="200">
        <f>VLOOKUP($A48,'Institution Evaluation'!$A$56:$F$345,6,0)&amp;""</f>
      </c>
      <c r="I48" s="35"/>
      <c r="J48" s="35"/>
    </row>
    <row r="49" spans="1:10" s="1" customFormat="1" ht="54" customHeight="1" x14ac:dyDescent="0.15">
      <c r="A49" s="19" t="s">
        <v>452</v>
      </c>
      <c r="B49" s="18">
        <f>VLOOKUP($A49,Questions!$A$2:$X$333,2,0)</f>
      </c>
      <c r="C49" s="21" t="s">
        <v>40</v>
      </c>
      <c r="D49" s="311" t="s">
        <v>2004</v>
      </c>
      <c r="E49" s="166">
        <f>IF($C$35="","",IF(OR($C$35='Auto Responses'!$J$17,$C$35='Auto Responses'!$J$18),'Auto Responses'!$A$26,IF($C49='Auto Responses'!$J$3,VLOOKUP($A49,Questions!$A$2:$X$333,17,0)&amp;"",IF($C49='Auto Responses'!$J$4,VLOOKUP($A49,Questions!$A$2:$X$333,16,0)&amp;"",VLOOKUP($A49,Questions!$A$2:$X$333,15,0)&amp;""))))</f>
      </c>
      <c r="F49" s="200">
        <f>VLOOKUP($A49,'Institution Evaluation'!$A$56:$F$345,6,0)&amp;""</f>
      </c>
      <c r="I49" s="35"/>
      <c r="J49" s="35"/>
    </row>
    <row r="50" spans="1:10" s="1" customFormat="1" ht="52.5" customHeight="1" thickBot="1" x14ac:dyDescent="0.2">
      <c r="A50" s="19" t="s">
        <v>456</v>
      </c>
      <c r="B50" s="18">
        <f>VLOOKUP($A50,Questions!$A$2:$X$333,2,0)</f>
      </c>
      <c r="C50" s="21" t="s">
        <v>40</v>
      </c>
      <c r="D50" s="311" t="s">
        <v>2005</v>
      </c>
      <c r="E50" s="166">
        <f>IF($C$35="","",IF(OR($C$35='Auto Responses'!$J$17,$C$35='Auto Responses'!$J$18),'Auto Responses'!$A$26,IF($C50='Auto Responses'!$J$3,VLOOKUP($A50,Questions!$A$2:$X$333,17,0)&amp;"",IF($C50='Auto Responses'!$J$4,VLOOKUP($A50,Questions!$A$2:$X$333,16,0)&amp;"",VLOOKUP($A50,Questions!$A$2:$X$333,15,0)&amp;""))))</f>
      </c>
      <c r="F50" s="200">
        <f>VLOOKUP($A50,'Institution Evaluation'!$A$56:$F$345,6,0)&amp;""</f>
      </c>
      <c r="I50" s="35"/>
      <c r="J50" s="35"/>
    </row>
    <row r="51" spans="1:10" s="1" customFormat="1" ht="37.5" customHeight="1" thickBot="1" x14ac:dyDescent="0.2">
      <c r="A51" s="63" t="str">
        <f>VLOOKUP(LEFT($A52,4),'Auto Responses'!$N$4:$O$38,2,0)&amp;""</f>
        <v xml:space="preserve"> Firewalls, IDS, IPS, and Networking</v>
      </c>
      <c r="B51" s="22"/>
      <c r="C51" s="13" t="s">
        <v>1495</v>
      </c>
      <c r="D51" s="13" t="s">
        <v>72</v>
      </c>
      <c r="E51" s="31" t="s">
        <v>848</v>
      </c>
      <c r="F51" s="186" t="s">
        <v>849</v>
      </c>
      <c r="I51" s="35"/>
      <c r="J51" s="35"/>
    </row>
    <row r="52" spans="1:10" s="1" customFormat="1" ht="38.25" customHeight="1" x14ac:dyDescent="0.15">
      <c r="A52" s="19" t="s">
        <v>462</v>
      </c>
      <c r="B52" s="18">
        <f>VLOOKUP($A52,Questions!$A$2:$X$333,2,0)</f>
      </c>
      <c r="C52" s="21" t="s">
        <v>40</v>
      </c>
      <c r="D52" s="311" t="s">
        <v>2006</v>
      </c>
      <c r="E52" s="166">
        <f>IF($C$18='Auto Responses'!$J$4,'Auto Responses'!$A$3,IF($C52='Auto Responses'!$J$3,VLOOKUP($A52,Questions!$A$2:$X$333,17,0)&amp;"",IF($C52='Auto Responses'!$J$4,VLOOKUP($A52,Questions!$A$2:$X$333,16,0)&amp;"",VLOOKUP($A52,Questions!$A$2:$X$333,15,0)&amp;"")))</f>
      </c>
      <c r="F52" s="200">
        <f>VLOOKUP($A52,'Institution Evaluation'!$A$56:$F$345,6,0)&amp;""</f>
      </c>
      <c r="I52" s="35"/>
      <c r="J52" s="35"/>
    </row>
    <row r="53" spans="1:10" s="1" customFormat="1" ht="38.25" customHeight="1" x14ac:dyDescent="0.15">
      <c r="A53" s="19" t="s">
        <v>465</v>
      </c>
      <c r="B53" s="18">
        <f>VLOOKUP($A53,Questions!$A$2:$X$333,2,0)</f>
      </c>
      <c r="C53" s="21" t="inlineStr">
        <is>
          <t xml:space="preserve">Yes</t>
        </is>
      </c>
      <c r="D53" s="311" t="inlineStr">
        <is>
          <t xml:space="preserve">Firewall (AWS security group) changes are made only through Terraform pull requests with review and CI-applied plans; emergency console changes must be written back into Terraform within 2 business days (Information Security Policy §5, Change and Patch Management §4).</t>
        </is>
      </c>
      <c r="E53" s="166">
        <f>IF($C$18='Auto Responses'!$J$4,'Auto Responses'!$A$3,IF($C53='Auto Responses'!$J$3,VLOOKUP($A53,Questions!$A$2:$X$333,17,0)&amp;"",IF($C53='Auto Responses'!$J$4,VLOOKUP($A53,Questions!$A$2:$X$333,16,0)&amp;"",VLOOKUP($A53,Questions!$A$2:$X$333,15,0)&amp;"")))</f>
      </c>
      <c r="F53" s="200">
        <f>VLOOKUP($A53,'Institution Evaluation'!$A$56:$F$345,6,0)&amp;""</f>
      </c>
      <c r="I53" s="35"/>
      <c r="J53" s="35"/>
    </row>
    <row r="54" spans="1:10" s="1" customFormat="1" ht="38.25" customHeight="1" x14ac:dyDescent="0.15">
      <c r="A54" s="19" t="s">
        <v>470</v>
      </c>
      <c r="B54" s="18">
        <f>VLOOKUP($A54,Questions!$A$2:$X$333,2,0)</f>
      </c>
      <c r="C54" s="21" t="s">
        <v>148</v>
      </c>
      <c r="D54" s="311"/>
      <c r="E54" s="166" t="str">
        <f>IF($C$18='Auto Responses'!$J$4,'Auto Responses'!$A$3,IF($C54='Auto Responses'!$J$3,VLOOKUP($A54,Questions!$A$2:$X$333,17,0)&amp;"",IF($C54='Auto Responses'!$J$4,VLOOKUP($A54,Questions!$A$2:$X$333,16,0)&amp;"",VLOOKUP($A54,Questions!$A$2:$X$333,15,0)&amp;"")))</f>
      </c>
      <c r="F54" s="200">
        <f>VLOOKUP($A54,'Institution Evaluation'!$A$56:$F$345,6,0)&amp;""</f>
      </c>
      <c r="I54" s="35"/>
      <c r="J54" s="35"/>
    </row>
    <row r="55" spans="1:10" s="1" customFormat="1" ht="38.25" customHeight="1" x14ac:dyDescent="0.15">
      <c r="A55" s="19" t="s">
        <v>475</v>
      </c>
      <c r="B55" s="18">
        <f>VLOOKUP($A55,Questions!$A$2:$X$333,2,0)</f>
      </c>
      <c r="C55" s="21" t="s">
        <v>148</v>
      </c>
      <c r="D55" s="311"/>
      <c r="E55" s="166" t="str">
        <f>IF($C$18='Auto Responses'!$J$4,'Auto Responses'!$A$3,IF($C55='Auto Responses'!$J$3,VLOOKUP($A55,Questions!$A$2:$X$333,17,0)&amp;"",IF($C55='Auto Responses'!$J$4,VLOOKUP($A55,Questions!$A$2:$X$333,16,0)&amp;"",IF($C55='Auto Responses'!$J$5,VLOOKUP($A55,Questions!$A$2:$X$333,18,0)&amp;"",VLOOKUP($A55,Questions!$A$2:$X$333,15,0)&amp;""))))</f>
      </c>
      <c r="F55" s="200">
        <f>VLOOKUP($A55,'Institution Evaluation'!$A$56:$F$345,6,0)&amp;""</f>
      </c>
      <c r="I55" s="35"/>
      <c r="J55" s="35"/>
    </row>
    <row r="56" spans="1:10" s="1" customFormat="1" ht="38.25" customHeight="1" x14ac:dyDescent="0.15">
      <c r="A56" s="19" t="s">
        <v>478</v>
      </c>
      <c r="B56" s="18">
        <f>VLOOKUP($A56,Questions!$A$2:$X$333,2,0)</f>
      </c>
      <c r="C56" s="21" t="s">
        <v>40</v>
      </c>
      <c r="D56" s="311" t="s">
        <v>2008</v>
      </c>
      <c r="E56" s="166">
        <f>IF($C$18='Auto Responses'!$J$4,'Auto Responses'!$A$3,IF($C56='Auto Responses'!$J$3,VLOOKUP($A56,Questions!$A$2:$X$333,17,0)&amp;"",IF($C56='Auto Responses'!$J$4,VLOOKUP($A56,Questions!$A$2:$X$333,16,0)&amp;"",VLOOKUP($A56,Questions!$A$2:$X$333,15,0)&amp;"")))</f>
      </c>
      <c r="F56" s="200">
        <f>VLOOKUP($A56,'Institution Evaluation'!$A$56:$F$345,6,0)&amp;""</f>
      </c>
      <c r="I56" s="35"/>
      <c r="J56" s="35"/>
    </row>
    <row r="57" spans="1:10" s="1" customFormat="1" ht="48" customHeight="1" x14ac:dyDescent="0.15">
      <c r="A57" s="19" t="s">
        <v>480</v>
      </c>
      <c r="B57" s="18">
        <f>VLOOKUP($A57,Questions!$A$2:$X$333,2,0)</f>
      </c>
      <c r="C57" s="21" t="inlineStr">
        <is>
          <t xml:space="preserve">Yes</t>
        </is>
      </c>
      <c r="D57" s="311" t="inlineStr">
        <is>
          <t xml:space="preserve">Approver: Marc Diaz, Founder (security owner). Co-founders may approve emergency changes when the Founder is unavailable.</t>
        </is>
      </c>
      <c r="E57" s="166">
        <f>IF($C$18='Auto Responses'!$J$4,'Auto Responses'!$A$3,IF($C57='Auto Responses'!$J$3,VLOOKUP($A57,Questions!$A$2:$X$333,17,0)&amp;"",IF($C57='Auto Responses'!$J$4,VLOOKUP($A57,Questions!$A$2:$X$333,16,0)&amp;"",VLOOKUP($A57,Questions!$A$2:$X$333,15,0)&amp;"")))</f>
      </c>
      <c r="F57" s="200">
        <f>VLOOKUP($A57,'Institution Evaluation'!$A$56:$F$345,6,0)&amp;""</f>
      </c>
      <c r="I57" s="35"/>
      <c r="J57" s="35"/>
    </row>
    <row r="58" spans="1:10" s="1" customFormat="1" ht="38.25" customHeight="1" x14ac:dyDescent="0.15">
      <c r="A58" s="19" t="s">
        <v>482</v>
      </c>
      <c r="B58" s="18">
        <f>VLOOKUP($A58,Questions!$A$2:$X$333,2,0)</f>
      </c>
      <c r="C58" s="21" t="s">
        <v>148</v>
      </c>
      <c r="D58" s="311"/>
      <c r="E58" s="166" t="str">
        <f>IF($C$18='Auto Responses'!$J$4,'Auto Responses'!$A$3,IF($C58='Auto Responses'!$J$3,VLOOKUP($A58,Questions!$A$2:$X$333,17,0)&amp;"",IF($C58='Auto Responses'!$J$4,VLOOKUP($A58,Questions!$A$2:$X$333,16,0)&amp;"",VLOOKUP($A58,Questions!$A$2:$X$333,15,0)&amp;"")))</f>
      </c>
      <c r="F58" s="200">
        <f>VLOOKUP($A58,'Institution Evaluation'!$A$56:$F$345,6,0)&amp;""</f>
      </c>
      <c r="I58" s="35"/>
      <c r="J58" s="35"/>
    </row>
    <row r="59" spans="1:10" s="1" customFormat="1" ht="38.25" customHeight="1" x14ac:dyDescent="0.15">
      <c r="A59" s="19" t="s">
        <v>485</v>
      </c>
      <c r="B59" s="18">
        <f>VLOOKUP($A59,Questions!$A$2:$X$333,2,0)</f>
      </c>
      <c r="C59" s="21" t="s">
        <v>148</v>
      </c>
      <c r="D59" s="311"/>
      <c r="E59" s="166" t="str">
        <f>IF($C$18='Auto Responses'!$J$4,'Auto Responses'!$A$3,IF($C59='Auto Responses'!$J$3,VLOOKUP($A59,Questions!$A$2:$X$333,17,0)&amp;"",IF($C59='Auto Responses'!$J$4,VLOOKUP($A59,Questions!$A$2:$X$333,16,0)&amp;"",IF($C59='Auto Responses'!$J$5,VLOOKUP($A59,Questions!$A$2:$X$333,18,0)&amp;"",VLOOKUP($A59,Questions!$A$2:$X$333,15,0)&amp;""))))</f>
      </c>
      <c r="F59" s="200">
        <f>VLOOKUP($A59,'Institution Evaluation'!$A$56:$F$345,6,0)&amp;""</f>
      </c>
      <c r="I59" s="35"/>
      <c r="J59" s="35"/>
    </row>
    <row r="60" spans="1:10" s="1" customFormat="1" ht="38.25" customHeight="1" x14ac:dyDescent="0.15">
      <c r="A60" s="19" t="s">
        <v>490</v>
      </c>
      <c r="B60" s="18">
        <f>VLOOKUP($A60,Questions!$A$2:$X$333,2,0)</f>
      </c>
      <c r="C60" s="21" t="s">
        <v>148</v>
      </c>
      <c r="D60" s="311"/>
      <c r="E60" s="166" t="str">
        <f>IF($C$18='Auto Responses'!$J$4,'Auto Responses'!$A$3,IF($C60='Auto Responses'!$J$3,VLOOKUP($A60,Questions!$A$2:$X$333,17,0)&amp;"",IF($C60='Auto Responses'!$J$4,VLOOKUP($A60,Questions!$A$2:$X$333,16,0)&amp;"",VLOOKUP($A60,Questions!$A$2:$X$333,15,0)&amp;"")))</f>
      </c>
      <c r="F60" s="200">
        <f>VLOOKUP($A60,'Institution Evaluation'!$A$56:$F$345,6,0)&amp;""</f>
      </c>
      <c r="I60" s="35"/>
      <c r="J60" s="35"/>
    </row>
    <row r="61" spans="1:10" s="1" customFormat="1" ht="60" customHeight="1" x14ac:dyDescent="0.15">
      <c r="A61" s="19" t="s">
        <v>495</v>
      </c>
      <c r="B61" s="18">
        <f>VLOOKUP($A61,Questions!$A$2:$X$333,2,0)</f>
      </c>
      <c r="C61" s="358" t="s">
        <v>2009</v>
      </c>
      <c r="D61" s="356"/>
      <c r="E61" s="166" t="str">
        <f>IF($C$18='Auto Responses'!$J$4,'Auto Responses'!$A$3,IF($C61='Auto Responses'!$J$3,VLOOKUP($A61,Questions!$A$2:$X$333,17,0)&amp;"",IF($C61='Auto Responses'!$J$4,VLOOKUP($A61,Questions!$A$2:$X$333,16,0)&amp;"",VLOOKUP($A61,Questions!$A$2:$X$333,15,0)&amp;"")))</f>
      </c>
      <c r="F61" s="200">
        <f>VLOOKUP($A61,'Institution Evaluation'!$A$56:$F$345,6,0)&amp;""</f>
      </c>
      <c r="I61" s="35"/>
      <c r="J61" s="35"/>
    </row>
    <row r="62" spans="1:10" s="1" customFormat="1" ht="36" customHeight="1" thickBot="1" x14ac:dyDescent="0.2">
      <c r="A62" s="19" t="s">
        <v>499</v>
      </c>
      <c r="B62" s="18">
        <f>VLOOKUP($A62,Questions!$A$2:$X$333,2,0)</f>
      </c>
      <c r="C62" s="21" t="s">
        <v>148</v>
      </c>
      <c r="D62" s="311"/>
      <c r="E62" s="166" t="str">
        <f>IF($C$18='Auto Responses'!$J$4,'Auto Responses'!$A$3,IF($C62='Auto Responses'!$J$3,VLOOKUP($A62,Questions!$A$2:$X$333,17,0)&amp;"",IF($C62='Auto Responses'!$J$4,VLOOKUP($A62,Questions!$A$2:$X$333,16,0)&amp;"",VLOOKUP($A62,Questions!$A$2:$X$333,15,0)&amp;"")))</f>
      </c>
      <c r="F62" s="200">
        <f>VLOOKUP($A62,'Institution Evaluation'!$A$56:$F$345,6,0)&amp;""</f>
      </c>
      <c r="G62" s="235" t="s">
        <v>1448</v>
      </c>
      <c r="I62" s="35"/>
      <c r="J62" s="35"/>
    </row>
    <row r="63" spans="1:10" s="1" customFormat="1" ht="37.5" customHeight="1" thickBot="1" x14ac:dyDescent="0.2">
      <c r="A63" s="63" t="str">
        <f>VLOOKUP(LEFT($A64,4),'Auto Responses'!$N$4:$O$38,2,0)&amp;""</f>
        <v xml:space="preserve"> Incident Handling</v>
      </c>
      <c r="B63" s="22"/>
      <c r="C63" s="13" t="s">
        <v>1495</v>
      </c>
      <c r="D63" s="13" t="s">
        <v>72</v>
      </c>
      <c r="E63" s="31" t="s">
        <v>848</v>
      </c>
      <c r="F63" s="186" t="s">
        <v>849</v>
      </c>
      <c r="I63" s="35"/>
      <c r="J63" s="35"/>
    </row>
    <row r="64" spans="1:10" s="1" customFormat="1" ht="27" customHeight="1" x14ac:dyDescent="0.15">
      <c r="A64" s="19" t="s">
        <v>558</v>
      </c>
      <c r="B64" s="18">
        <f>VLOOKUP($A64,Questions!$A$2:$X$333,2,0)</f>
      </c>
      <c r="C64" s="21" t="inlineStr">
        <is>
          <t xml:space="preserve">Yes</t>
        </is>
      </c>
      <c r="D64" s="311" t="inlineStr">
        <is>
          <t xml:space="preserve">Edugator internal policies (available on request): Incident Response Plan covering triage within 1 hour, containment, investigation, recovery, institution notification within 72 hours, and post-incident review; exercised annually.</t>
        </is>
      </c>
      <c r="E64" s="166">
        <f>IF($C$18='Auto Responses'!$J$4,'Auto Responses'!$A$3,IF($C64='Auto Responses'!$J$3,VLOOKUP($A64,Questions!$A$2:$X$333,17,0)&amp;"",IF($C64='Auto Responses'!$J$4,VLOOKUP($A64,Questions!$A$2:$X$333,16,0)&amp;"",VLOOKUP($A64,Questions!$A$2:$X$333,15,0)&amp;"")))</f>
      </c>
      <c r="F64" s="200">
        <f>VLOOKUP($A64,'Institution Evaluation'!$A$56:$F$345,6,0)&amp;""</f>
      </c>
      <c r="I64" s="35"/>
      <c r="J64" s="35"/>
    </row>
    <row r="65" spans="1:12" s="1" customFormat="1" ht="40.5" customHeight="1" x14ac:dyDescent="0.15">
      <c r="A65" s="19" t="s">
        <v>562</v>
      </c>
      <c r="B65" s="18">
        <f>VLOOKUP($A65,Questions!$A$2:$X$333,2,0)</f>
      </c>
      <c r="C65" s="21" t="inlineStr">
        <is>
          <t xml:space="preserve">Yes</t>
        </is>
      </c>
      <c r="D65" s="311" t="inlineStr">
        <is>
          <t xml:space="preserve">Internal team: the Founder (incident lead and Privacy Officer) and co-founders, as defined in the Incident Response Plan. No external retainer.</t>
        </is>
      </c>
      <c r="E65" s="166">
        <f>IF($C$18='Auto Responses'!$J$4,'Auto Responses'!$A$3,IF($C65='Auto Responses'!$J$3,VLOOKUP($A65,Questions!$A$2:$X$333,17,0)&amp;"",IF($C65='Auto Responses'!$J$4,VLOOKUP($A65,Questions!$A$2:$X$333,16,0)&amp;"",VLOOKUP($A65,Questions!$A$2:$X$333,15,0)&amp;"")))</f>
      </c>
      <c r="F65" s="200">
        <f>VLOOKUP($A65,'Institution Evaluation'!$A$56:$F$345,6,0)&amp;""</f>
      </c>
      <c r="I65" s="35"/>
      <c r="J65" s="35"/>
    </row>
    <row r="66" spans="1:12" s="1" customFormat="1" ht="46.5" customHeight="1" x14ac:dyDescent="0.15">
      <c r="A66" s="19" t="s">
        <v>566</v>
      </c>
      <c r="B66" s="18">
        <f>VLOOKUP($A66,Questions!$A$2:$X$333,2,0)</f>
      </c>
      <c r="C66" s="21" t="s">
        <v>148</v>
      </c>
      <c r="D66" s="311"/>
      <c r="E66" s="166" t="str">
        <f>IF($C$18='Auto Responses'!$J$4,'Auto Responses'!$A$3,IF($C66='Auto Responses'!$J$3,VLOOKUP($A66,Questions!$A$2:$X$333,17,0)&amp;"",IF($C66='Auto Responses'!$J$4,VLOOKUP($A66,Questions!$A$2:$X$333,16,0)&amp;"",VLOOKUP($A66,Questions!$A$2:$X$333,15,0)&amp;"")))</f>
      </c>
      <c r="F66" s="200">
        <f>VLOOKUP($A66,'Institution Evaluation'!$A$56:$F$345,6,0)&amp;""</f>
      </c>
      <c r="I66" s="35"/>
      <c r="J66" s="35"/>
    </row>
    <row r="67" spans="1:12" s="1" customFormat="1" ht="48" customHeight="1" thickBot="1" x14ac:dyDescent="0.2">
      <c r="A67" s="19" t="s">
        <v>570</v>
      </c>
      <c r="B67" s="18">
        <f>VLOOKUP($A67,Questions!$A$2:$X$333,2,0)</f>
      </c>
      <c r="C67" s="21" t="s">
        <v>148</v>
      </c>
      <c r="D67" s="311" t="s">
        <v>2094</v>
      </c>
      <c r="E67" s="166">
        <f>IF($C$18='Auto Responses'!$J$4,'Auto Responses'!$A$3,IF($C67='Auto Responses'!$J$3,VLOOKUP($A67,Questions!$A$2:$X$333,17,0)&amp;"",IF($C67='Auto Responses'!$J$4,VLOOKUP($A67,Questions!$A$2:$X$333,16,0)&amp;"",VLOOKUP($A67,Questions!$A$2:$X$333,15,0)&amp;"")))</f>
      </c>
      <c r="F67" s="200">
        <f>VLOOKUP($A67,'Institution Evaluation'!$A$56:$F$345,6,0)&amp;""</f>
      </c>
      <c r="G67" s="235" t="s">
        <v>1448</v>
      </c>
      <c r="I67" s="35"/>
      <c r="J67" s="35"/>
    </row>
    <row r="68" spans="1:12" s="1" customFormat="1" ht="37.5" customHeight="1" thickBot="1" x14ac:dyDescent="0.2">
      <c r="A68" s="63" t="str">
        <f>VLOOKUP(LEFT($A69,4),'Auto Responses'!$N$4:$O$38,2,0)&amp;""</f>
        <v xml:space="preserve"> Vulnerability Management</v>
      </c>
      <c r="B68" s="22"/>
      <c r="C68" s="13" t="s">
        <v>1495</v>
      </c>
      <c r="D68" s="13" t="s">
        <v>72</v>
      </c>
      <c r="E68" s="31" t="s">
        <v>848</v>
      </c>
      <c r="F68" s="186" t="s">
        <v>849</v>
      </c>
      <c r="I68" s="35"/>
      <c r="J68" s="35"/>
    </row>
    <row r="69" spans="1:12" s="1" customFormat="1" ht="60.75" customHeight="1" x14ac:dyDescent="0.15">
      <c r="A69" s="19" t="s">
        <v>572</v>
      </c>
      <c r="B69" s="18">
        <f>VLOOKUP($A69,Questions!$A$2:$X$333,2,0)</f>
      </c>
      <c r="C69" s="21" t="s">
        <v>148</v>
      </c>
      <c r="D69" s="311"/>
      <c r="E69" s="166" t="str">
        <f>IF($C$18='Auto Responses'!$J$4,'Auto Responses'!$A$3,IF($C69='Auto Responses'!$J$3,VLOOKUP($A69,Questions!$A$2:$X$333,17,0)&amp;"",IF($C69='Auto Responses'!$J$4,VLOOKUP($A69,Questions!$A$2:$X$333,16,0)&amp;"",VLOOKUP($A69,Questions!$A$2:$X$333,15,0)&amp;"")))</f>
      </c>
      <c r="F69" s="200">
        <f>VLOOKUP($A69,'Institution Evaluation'!$A$56:$F$345,6,0)&amp;""</f>
      </c>
      <c r="I69" s="35"/>
      <c r="J69" s="35"/>
    </row>
    <row r="70" spans="1:12" s="1" customFormat="1" ht="36.75" customHeight="1" x14ac:dyDescent="0.15">
      <c r="A70" s="19" t="s">
        <v>575</v>
      </c>
      <c r="B70" s="18">
        <f>VLOOKUP($A70,Questions!$A$2:$X$333,2,0)</f>
      </c>
      <c r="C70" s="21" t="s">
        <v>148</v>
      </c>
      <c r="D70" s="311"/>
      <c r="E70" s="166" t="str">
        <f>IF($C$18='Auto Responses'!$J$4,'Auto Responses'!$A$3,IF($C70='Auto Responses'!$J$3,VLOOKUP($A70,Questions!$A$2:$X$333,17,0)&amp;"",IF($C70='Auto Responses'!$J$4,VLOOKUP($A70,Questions!$A$2:$X$333,16,0)&amp;"",VLOOKUP($A70,Questions!$A$2:$X$333,15,0)&amp;"")))</f>
      </c>
      <c r="F70" s="200">
        <f>VLOOKUP($A70,'Institution Evaluation'!$A$56:$F$345,6,0)&amp;""</f>
      </c>
      <c r="I70" s="35"/>
      <c r="J70" s="35"/>
    </row>
    <row r="71" spans="1:12" s="1" customFormat="1" ht="51.75" customHeight="1" x14ac:dyDescent="0.15">
      <c r="A71" s="19" t="s">
        <v>579</v>
      </c>
      <c r="B71" s="18">
        <f>VLOOKUP($A71,Questions!$A$2:$X$333,2,0)</f>
      </c>
      <c r="C71" s="21" t="s">
        <v>40</v>
      </c>
      <c r="D71" s="311" t="s">
        <v>2014</v>
      </c>
      <c r="E71" s="166">
        <f>IF($C$18='Auto Responses'!$J$4,'Auto Responses'!$A$3,IF($C71='Auto Responses'!$J$3,VLOOKUP($A71,Questions!$A$2:$X$333,17,0)&amp;"",IF($C71='Auto Responses'!$J$4,VLOOKUP($A71,Questions!$A$2:$X$333,16,0)&amp;"",VLOOKUP($A71,Questions!$A$2:$X$333,15,0)&amp;"")))</f>
      </c>
      <c r="F71" s="200">
        <f>VLOOKUP($A71,'Institution Evaluation'!$A$56:$F$345,6,0)&amp;""</f>
      </c>
      <c r="I71" s="35"/>
      <c r="J71" s="35"/>
    </row>
    <row r="72" spans="1:12" s="1" customFormat="1" ht="54" customHeight="1" x14ac:dyDescent="0.15">
      <c r="A72" s="19" t="s">
        <v>582</v>
      </c>
      <c r="B72" s="18">
        <f>VLOOKUP($A72,Questions!$A$2:$X$333,2,0)</f>
      </c>
      <c r="C72" s="21" t="s">
        <v>148</v>
      </c>
      <c r="D72" s="311"/>
      <c r="E72" s="166" t="str">
        <f>IF($C$18='Auto Responses'!$J$4,'Auto Responses'!$A$3,IF($C72='Auto Responses'!$J$3,VLOOKUP($A72,Questions!$A$2:$X$333,17,0)&amp;"",IF($C72='Auto Responses'!$J$4,VLOOKUP($A72,Questions!$A$2:$X$333,16,0)&amp;"",VLOOKUP($A72,Questions!$A$2:$X$333,15,0)&amp;"")))</f>
      </c>
      <c r="F72" s="200">
        <f>VLOOKUP($A72,'Institution Evaluation'!$A$56:$F$345,6,0)&amp;""</f>
      </c>
      <c r="I72" s="35"/>
      <c r="J72" s="35"/>
    </row>
    <row r="73" spans="1:12" s="1" customFormat="1" ht="60" customHeight="1" x14ac:dyDescent="0.15">
      <c r="A73" s="19" t="s">
        <v>585</v>
      </c>
      <c r="B73" s="18">
        <f>VLOOKUP($A73,Questions!$A$2:$X$333,2,0)</f>
      </c>
      <c r="C73" s="21" t="s">
        <v>148</v>
      </c>
      <c r="D73" s="311"/>
      <c r="E73" s="166" t="str">
        <f>IF($C$18='Auto Responses'!$J$4,'Auto Responses'!$A$3,IF($C73='Auto Responses'!$J$3,VLOOKUP($A73,Questions!$A$2:$X$333,17,0)&amp;"",IF($C73='Auto Responses'!$J$4,VLOOKUP($A73,Questions!$A$2:$X$333,16,0)&amp;"",VLOOKUP($A73,Questions!$A$2:$X$333,15,0)&amp;"")))</f>
      </c>
      <c r="F73" s="200">
        <f>VLOOKUP($A73,'Institution Evaluation'!$A$56:$F$345,6,0)&amp;""</f>
      </c>
      <c r="I73" s="35"/>
      <c r="J73" s="35"/>
    </row>
    <row r="74" spans="1:12" s="1" customFormat="1" ht="56.25" customHeight="1" x14ac:dyDescent="0.15">
      <c r="A74" s="19" t="s">
        <v>587</v>
      </c>
      <c r="B74" s="18">
        <f>VLOOKUP($A74,Questions!$A$2:$X$333,2,0)</f>
      </c>
      <c r="C74" s="21" t="s">
        <v>148</v>
      </c>
      <c r="D74" s="311"/>
      <c r="E74" s="166" t="str">
        <f>IF($C$18='Auto Responses'!$J$4,'Auto Responses'!$A$3,IF($C74='Auto Responses'!$J$3,VLOOKUP($A74,Questions!$A$2:$X$333,17,0)&amp;"",IF($C74='Auto Responses'!$J$4,VLOOKUP($A74,Questions!$A$2:$X$333,16,0)&amp;"",VLOOKUP($A74,Questions!$A$2:$X$333,15,0)&amp;"")))</f>
      </c>
      <c r="F74" s="200">
        <f>VLOOKUP($A74,'Institution Evaluation'!$A$56:$F$345,6,0)&amp;""</f>
      </c>
      <c r="G74" s="235" t="s">
        <v>1448</v>
      </c>
      <c r="H74" s="35"/>
    </row>
    <row r="75" spans="1:12" s="170" customFormat="1" ht="36.75" customHeight="1" x14ac:dyDescent="0.15">
      <c r="A75" s="262" t="s">
        <v>1505</v>
      </c>
      <c r="B75" s="248"/>
      <c r="C75" s="249"/>
      <c r="D75" s="312"/>
      <c r="E75" s="251"/>
      <c r="F75" s="252"/>
      <c r="G75" s="253"/>
      <c r="H75" s="171"/>
    </row>
    <row r="76" spans="1:12" s="1" customFormat="1" ht="15" hidden="1" customHeight="1" x14ac:dyDescent="0.15">
      <c r="A76" s="23"/>
      <c r="C76" s="8"/>
      <c r="D76" s="9"/>
      <c r="E76" s="10"/>
      <c r="I76" s="35"/>
      <c r="J76" s="35"/>
    </row>
    <row r="77" spans="1:12" ht="15" hidden="1" customHeight="1" x14ac:dyDescent="0.15">
      <c r="A77" s="1"/>
      <c r="B77" s="8"/>
      <c r="C77" s="70"/>
      <c r="D77" s="10"/>
      <c r="E77" s="1"/>
      <c r="H77" s="35"/>
      <c r="I77" s="1"/>
      <c r="J77" s="1"/>
      <c r="L77" s="23"/>
    </row>
    <row r="78" spans="1:12" ht="0" hidden="1" customHeight="1" x14ac:dyDescent="0.15">
      <c r="A78" s="19" t="e">
        <f>#REF!</f>
      </c>
    </row>
    <row r="79" spans="1:12" ht="0" hidden="1" customHeight="1" x14ac:dyDescent="0.15">
      <c r="A79" s="19">
        <f>#REF!</f>
      </c>
    </row>
    <row r="80" spans="1:12" ht="0" hidden="1" customHeight="1" x14ac:dyDescent="0.15">
      <c r="A80" s="19">
        <f>#REF!</f>
      </c>
    </row>
    <row r="81" spans="1:1" ht="0" hidden="1" customHeight="1" x14ac:dyDescent="0.15">
      <c r="A81" s="19">
        <f>#REF!</f>
      </c>
    </row>
    <row r="82" spans="1:1" ht="0" hidden="1" customHeight="1" x14ac:dyDescent="0.15">
      <c r="A82" s="19">
        <f>#REF!</f>
      </c>
    </row>
    <row r="83" spans="1:1" ht="0" hidden="1" customHeight="1" x14ac:dyDescent="0.15">
      <c r="A83" s="19">
        <f>#REF!</f>
      </c>
    </row>
    <row r="84" spans="1:1" ht="0" hidden="1" customHeight="1" x14ac:dyDescent="0.15">
      <c r="A84" s="19">
        <f>#REF!</f>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For full instructions, please visit the HECVAT website."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C62 C33 C20:C31 C52:C54 C56:C58 C60</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32" zoomScale="80" zoomScaleNormal="80" workbookViewId="0">
      <selection activeCell="A2" sqref="A2"/>
    </sheetView>
  </sheetViews>
  <sheetFormatPr baseColWidth="10" defaultColWidth="0" defaultRowHeight="0" customHeight="1" zeroHeight="1" x14ac:dyDescent="0.15"/>
  <cols>
    <col min="1" max="1" width="8.25" customWidth="1"/>
    <col min="2" max="2" width="55.125" style="1" customWidth="1"/>
    <col min="3" max="3" width="18.875" style="8" customWidth="1"/>
    <col min="4" max="4" width="55.625" style="9" customWidth="1"/>
    <col min="5" max="5" width="32" style="10" customWidth="1"/>
    <col min="6" max="6" width="30.625" style="1" customWidth="1"/>
    <col min="7" max="7" width="18.125" style="1" customWidth="1"/>
    <col min="8" max="8" width="18.125" style="1" hidden="1" customWidth="1"/>
    <col min="9" max="10" width="18.125" style="35" hidden="1" customWidth="1"/>
    <col min="11" max="11" width="4.5" style="1" hidden="1" customWidth="1"/>
    <col min="12" max="12" width="6.625" style="1" hidden="1" customWidth="1"/>
    <col min="13" max="16384" width="6.625" hidden="1"/>
  </cols>
  <sheetData>
    <row r="1" spans="1:10" ht="0" hidden="1" customHeight="1" x14ac:dyDescent="0.15">
      <c r="A1" t="s">
        <v>1447</v>
      </c>
    </row>
    <row r="2" spans="1:10" ht="36" customHeight="1" x14ac:dyDescent="0.15">
      <c r="A2" s="167" t="s">
        <v>1377</v>
      </c>
      <c r="B2" s="167"/>
      <c r="C2" s="168"/>
      <c r="D2" s="302"/>
      <c r="E2" s="169"/>
      <c r="F2" s="169" t="str">
        <f>'Auto Responses'!$A$36</f>
      </c>
      <c r="J2" s="1"/>
    </row>
    <row r="3" spans="1:10" s="1" customFormat="1" ht="29.25" customHeight="1" x14ac:dyDescent="0.15">
      <c r="A3" s="37" t="s">
        <v>940</v>
      </c>
      <c r="B3" s="38"/>
      <c r="C3" s="66">
        <f>'START HERE'!$C$3</f>
      </c>
      <c r="D3" s="303"/>
      <c r="E3" s="36"/>
      <c r="F3" s="50"/>
      <c r="I3" s="35"/>
    </row>
    <row r="4" spans="1:10" s="1" customFormat="1" ht="36" customHeight="1" x14ac:dyDescent="0.15">
      <c r="A4" s="11" t="s">
        <v>865</v>
      </c>
      <c r="B4" s="12"/>
      <c r="C4" s="13"/>
      <c r="D4" s="14"/>
      <c r="E4" s="15"/>
      <c r="F4" s="15"/>
      <c r="I4" s="35"/>
    </row>
    <row r="5" spans="1:10" s="1" customFormat="1" ht="19.5" customHeight="1" x14ac:dyDescent="0.15">
      <c r="A5" s="42" t="str">
        <f>HLOOKUP($A$4,'Auto Responses'!$D$2:$D$8,2,0)&amp;""</f>
      </c>
      <c r="B5" s="16"/>
      <c r="C5" s="67"/>
      <c r="D5" s="304"/>
      <c r="E5" s="16"/>
      <c r="F5" s="256"/>
      <c r="I5" s="35"/>
    </row>
    <row r="6" spans="1:10" s="1" customFormat="1" ht="19.5" customHeight="1" x14ac:dyDescent="0.15">
      <c r="A6" s="42" t="str">
        <f>HLOOKUP($A$4,'Auto Responses'!$D$2:$D$8,3,0)&amp;""</f>
      </c>
      <c r="B6" s="16"/>
      <c r="C6" s="67"/>
      <c r="D6" s="304"/>
      <c r="E6" s="16"/>
      <c r="F6" s="257"/>
      <c r="I6" s="35"/>
    </row>
    <row r="7" spans="1:10"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15">
      <c r="A8" s="42" t="str">
        <f>HLOOKUP($A$4,'Auto Responses'!$D$2:$D$8,5,0)&amp;""</f>
      </c>
      <c r="B8" s="16"/>
      <c r="C8" s="67"/>
      <c r="D8" s="304"/>
      <c r="E8" s="16"/>
      <c r="F8" s="257"/>
      <c r="I8" s="35"/>
    </row>
    <row r="9" spans="1:10" s="1" customFormat="1" ht="19.5" customHeight="1" x14ac:dyDescent="0.15">
      <c r="A9" s="42" t="str">
        <f>HLOOKUP($A$4,'Auto Responses'!$D$2:$D$8,6,0)&amp;""</f>
      </c>
      <c r="B9" s="16"/>
      <c r="C9" s="67"/>
      <c r="D9" s="304"/>
      <c r="E9" s="16"/>
      <c r="F9" s="257"/>
      <c r="I9" s="35"/>
    </row>
    <row r="10" spans="1:10" s="1" customFormat="1" ht="19.5" customHeight="1" x14ac:dyDescent="0.15">
      <c r="A10" s="243" t="str">
        <f>HLOOKUP($A$4,'Auto Responses'!$D$2:$D$8,7,0)&amp;""</f>
      </c>
      <c r="B10" s="16"/>
      <c r="C10" s="67"/>
      <c r="D10" s="304"/>
      <c r="E10" s="16"/>
      <c r="F10" s="257"/>
      <c r="I10" s="35"/>
    </row>
    <row r="11" spans="1:10" s="1" customFormat="1" ht="19.5" customHeight="1" x14ac:dyDescent="0.15">
      <c r="A11" s="360" t="str">
        <f>HLOOKUP($A$4,'Auto Responses'!$D$2:$D$9,8,0)&amp;""</f>
      </c>
      <c r="B11" s="16"/>
      <c r="C11" s="67"/>
      <c r="D11" s="304"/>
      <c r="E11" s="16"/>
      <c r="F11" s="258"/>
      <c r="I11" s="35"/>
    </row>
    <row r="12" spans="1:10" s="1" customFormat="1" ht="36" customHeight="1" x14ac:dyDescent="0.15">
      <c r="A12" s="63" t="str">
        <f>VLOOKUP(LEFT($A13,4),'Auto Responses'!$N$4:$O$38,2,0)&amp;""</f>
        <v xml:space="preserve"> General Information</v>
      </c>
      <c r="B12" s="12"/>
      <c r="C12" s="13" t="s">
        <v>1495</v>
      </c>
      <c r="D12" s="305"/>
      <c r="E12" s="17"/>
      <c r="F12" s="17"/>
      <c r="I12" s="35"/>
      <c r="J12" s="35"/>
    </row>
    <row r="13" spans="1:10" s="1" customFormat="1" ht="22.5" customHeight="1" x14ac:dyDescent="0.15">
      <c r="A13" s="19" t="s">
        <v>21</v>
      </c>
      <c r="B13" s="20">
        <f>VLOOKUP($A13,Questions!$A$2:$X$333,2,0)&amp;""</f>
      </c>
      <c r="C13" s="75">
        <f>VLOOKUP($A13,'START HERE'!$A$13:$C$21,3,0)&amp;""</f>
      </c>
      <c r="D13" s="32"/>
      <c r="E13" s="32"/>
      <c r="F13" s="50"/>
      <c r="I13" s="35"/>
      <c r="J13" s="35"/>
    </row>
    <row r="14" spans="1:10" s="1" customFormat="1" ht="22.5" customHeight="1" x14ac:dyDescent="0.15">
      <c r="A14" s="19" t="s">
        <v>24</v>
      </c>
      <c r="B14" s="20">
        <f>VLOOKUP($A14,Questions!$A$2:$X$333,2,0)&amp;""</f>
      </c>
      <c r="C14" s="75">
        <f>VLOOKUP($A14,'START HERE'!$A$13:$C$21,3,0)&amp;""</f>
      </c>
      <c r="D14" s="32"/>
      <c r="E14" s="32"/>
      <c r="F14" s="50"/>
      <c r="I14" s="35"/>
      <c r="J14" s="35"/>
    </row>
    <row r="15" spans="1:10" s="1" customFormat="1" ht="22.5" customHeight="1" x14ac:dyDescent="0.15">
      <c r="A15" s="19" t="s">
        <v>25</v>
      </c>
      <c r="B15" s="20">
        <f>VLOOKUP($A15,Questions!$A$2:$X$333,2,0)&amp;""</f>
      </c>
      <c r="C15" s="75">
        <f>VLOOKUP($A15,'START HERE'!$A$13:$C$21,3,0)&amp;""</f>
      </c>
      <c r="D15" s="32"/>
      <c r="E15" s="32"/>
      <c r="F15" s="50"/>
      <c r="I15" s="35"/>
      <c r="J15" s="35"/>
    </row>
    <row r="16" spans="1:10" s="1" customFormat="1" ht="22.5" customHeight="1" thickBot="1" x14ac:dyDescent="0.2">
      <c r="A16" s="19" t="s">
        <v>30</v>
      </c>
      <c r="B16" s="20">
        <f>VLOOKUP($A16,Questions!$A$2:$X$333,2,0)&amp;""</f>
      </c>
      <c r="C16" s="75">
        <f>VLOOKUP($A16,'START HERE'!$A$13:$C$21,3,0)&amp;""</f>
      </c>
      <c r="D16" s="32"/>
      <c r="E16" s="32"/>
      <c r="F16" s="50"/>
      <c r="I16" s="35"/>
      <c r="J16" s="35"/>
    </row>
    <row r="17" spans="1:10" s="1" customFormat="1" ht="37.5" customHeight="1" thickBot="1" x14ac:dyDescent="0.2">
      <c r="A17" s="63" t="str">
        <f>VLOOKUP(LEFT($A18,4),'Auto Responses'!$N$4:$O$38,2,0)&amp;""</f>
        <v xml:space="preserve"> Required Questions</v>
      </c>
      <c r="B17" s="22"/>
      <c r="C17" s="13" t="s">
        <v>1495</v>
      </c>
      <c r="D17" s="13"/>
      <c r="E17" s="31" t="s">
        <v>848</v>
      </c>
      <c r="F17" s="186" t="s">
        <v>849</v>
      </c>
      <c r="I17" s="35"/>
      <c r="J17" s="35"/>
    </row>
    <row r="18" spans="1:10" s="1" customFormat="1" ht="54" customHeight="1" thickBot="1" x14ac:dyDescent="0.2">
      <c r="A18" s="19" t="s">
        <v>51</v>
      </c>
      <c r="B18" s="18">
        <f>VLOOKUP($A18,Questions!$A$2:$X$333,2,0)</f>
      </c>
      <c r="C18" s="71">
        <f>VLOOKUP($A18,'START HERE'!$A$23:$F$36,3,0)&amp;""</f>
      </c>
      <c r="D18" s="306">
        <f>VLOOKUP($A18,'START HERE'!$A$23:$F$36,4,0)&amp;""</f>
      </c>
      <c r="E18" s="166">
        <f>IF($C18='Auto Responses'!$J$3,VLOOKUP($A18,Questions!$A$2:$X$333,17,0)&amp;"",IF($C18='Auto Responses'!$J$4,VLOOKUP($A18,Questions!$A$2:$X$333,16,0)&amp;"",VLOOKUP($A18,Questions!$A$2:$X$333,15,0)&amp;""))</f>
      </c>
      <c r="F18" s="200">
        <f>VLOOKUP($A18,'Institution Evaluation'!$A$56:$F$345,6,0)&amp;""</f>
      </c>
      <c r="G18" s="235" t="s">
        <v>1448</v>
      </c>
      <c r="I18" s="35"/>
      <c r="J18" s="35"/>
    </row>
    <row r="19" spans="1:10" s="1" customFormat="1" ht="37.5" customHeight="1" thickBot="1" x14ac:dyDescent="0.2">
      <c r="A19" s="63" t="str">
        <f>VLOOKUP(LEFT($A20,4),'Auto Responses'!$N$4:$O$38,2,0)&amp;""</f>
        <v xml:space="preserve"> IT Accessibility</v>
      </c>
      <c r="B19" s="22"/>
      <c r="C19" s="13" t="s">
        <v>1495</v>
      </c>
      <c r="D19" s="13" t="s">
        <v>72</v>
      </c>
      <c r="E19" s="31" t="s">
        <v>848</v>
      </c>
      <c r="F19" s="186" t="s">
        <v>849</v>
      </c>
      <c r="I19" s="35"/>
      <c r="J19" s="35"/>
    </row>
    <row r="20" spans="1:10" s="1" customFormat="1" ht="17" x14ac:dyDescent="0.15">
      <c r="A20" s="19" t="s">
        <v>93</v>
      </c>
      <c r="B20" s="18">
        <f>VLOOKUP($A20,Questions!$A$2:$X$333,2,0)</f>
      </c>
      <c r="C20" s="76" t="s">
        <v>1914</v>
      </c>
      <c r="D20" s="307"/>
      <c r="E20" s="166" t="str">
        <f>IF($C$18='Auto Responses'!$J$4,'Auto Responses'!$A$4,IF($C20='Auto Responses'!$J$3,VLOOKUP($A20,Questions!$A$2:$X$333,17,0)&amp;"",IF($C20='Auto Responses'!$J$4,VLOOKUP($A20,Questions!$A$2:$X$333,16,0)&amp;"",VLOOKUP($A20,Questions!$A$2:$X$333,15,0)&amp;"")))</f>
      </c>
      <c r="F20" s="200">
        <f>VLOOKUP($A20,'Institution Evaluation'!$A$56:$F$345,6,0)&amp;""</f>
      </c>
      <c r="I20" s="35"/>
      <c r="J20" s="35"/>
    </row>
    <row r="21" spans="1:10" s="1" customFormat="1" ht="30" customHeight="1" x14ac:dyDescent="0.15">
      <c r="A21" s="19" t="s">
        <v>94</v>
      </c>
      <c r="B21" s="18">
        <f>VLOOKUP($A21,Questions!$A$2:$X$333,2,0)</f>
      </c>
      <c r="C21" s="76" t="inlineStr">
        <is>
          <t xml:space="preserve">Founder</t>
        </is>
      </c>
      <c r="D21" s="307"/>
      <c r="E21" s="166" t="str">
        <f>IF($C$18='Auto Responses'!$J$4,'Auto Responses'!$A$4,IF($C21='Auto Responses'!$J$3,VLOOKUP($A21,Questions!$A$2:$X$333,17,0)&amp;"",IF($C21='Auto Responses'!$J$4,VLOOKUP($A21,Questions!$A$2:$X$333,16,0)&amp;"",VLOOKUP($A21,Questions!$A$2:$X$333,15,0)&amp;"")))</f>
      </c>
      <c r="F21" s="200">
        <f>VLOOKUP($A21,'Institution Evaluation'!$A$56:$F$345,6,0)&amp;""</f>
      </c>
      <c r="I21" s="35"/>
      <c r="J21" s="35"/>
    </row>
    <row r="22" spans="1:10" s="1" customFormat="1" ht="30" customHeight="1" x14ac:dyDescent="0.15">
      <c r="A22" s="19" t="s">
        <v>95</v>
      </c>
      <c r="B22" s="18">
        <f>VLOOKUP($A22,Questions!$A$2:$X$333,2,0)</f>
      </c>
      <c r="C22" s="76" t="s">
        <v>1916</v>
      </c>
      <c r="D22" s="307"/>
      <c r="E22" s="166" t="str">
        <f>IF($C$18='Auto Responses'!$J$4,'Auto Responses'!$A$4,IF($C22='Auto Responses'!$J$3,VLOOKUP($A22,Questions!$A$2:$X$333,17,0)&amp;"",IF($C22='Auto Responses'!$J$4,VLOOKUP($A22,Questions!$A$2:$X$333,16,0)&amp;"",VLOOKUP($A22,Questions!$A$2:$X$333,15,0)&amp;"")))</f>
      </c>
      <c r="F22" s="200">
        <f>VLOOKUP($A22,'Institution Evaluation'!$A$56:$F$345,6,0)&amp;""</f>
      </c>
      <c r="I22" s="35"/>
      <c r="J22" s="35"/>
    </row>
    <row r="23" spans="1:10" s="1" customFormat="1" ht="30" customHeight="1" x14ac:dyDescent="0.15">
      <c r="A23" s="19" t="s">
        <v>96</v>
      </c>
      <c r="B23" s="18">
        <f>VLOOKUP($A23,Questions!$A$2:$X$333,2,0)</f>
      </c>
      <c r="C23" s="76" t="inlineStr">
        <is>
          <t xml:space="preserve">352-281-4587</t>
        </is>
      </c>
      <c r="D23" s="307"/>
      <c r="E23" s="166" t="str">
        <f>IF($C$18='Auto Responses'!$J$4,'Auto Responses'!$A$4,IF($C23='Auto Responses'!$J$3,VLOOKUP($A23,Questions!$A$2:$X$333,17,0)&amp;"",IF($C23='Auto Responses'!$J$4,VLOOKUP($A23,Questions!$A$2:$X$333,16,0)&amp;"",VLOOKUP($A23,Questions!$A$2:$X$333,15,0)&amp;"")))</f>
      </c>
      <c r="F23" s="200">
        <f>VLOOKUP($A23,'Institution Evaluation'!$A$56:$F$345,6,0)&amp;""</f>
      </c>
      <c r="I23" s="35"/>
      <c r="J23" s="35"/>
    </row>
    <row r="24" spans="1:10" s="1" customFormat="1" ht="30" customHeight="1" x14ac:dyDescent="0.15">
      <c r="A24" s="19" t="s">
        <v>97</v>
      </c>
      <c r="B24" s="18">
        <f>VLOOKUP($A24,Questions!$A$2:$X$333,2,0)</f>
      </c>
      <c r="C24" s="76" t="s">
        <v>2015</v>
      </c>
      <c r="D24" s="307" t="s">
        <v>2016</v>
      </c>
      <c r="E24" s="166">
        <f>IF($C$18='Auto Responses'!$J$4,'Auto Responses'!$A$4,IF($C24='Auto Responses'!$J$3,VLOOKUP($A24,Questions!$A$2:$X$333,17,0)&amp;"",IF($C24='Auto Responses'!$J$4,VLOOKUP($A24,Questions!$A$2:$X$333,16,0)&amp;"",VLOOKUP($A24,Questions!$A$2:$X$333,15,0)&amp;"")))</f>
      </c>
      <c r="F24" s="200">
        <f>VLOOKUP($A24,'Institution Evaluation'!$A$56:$F$345,6,0)&amp;""</f>
      </c>
      <c r="I24" s="35"/>
      <c r="J24" s="35"/>
    </row>
    <row r="25" spans="1:10" s="1" customFormat="1" ht="136.5" customHeight="1" x14ac:dyDescent="0.15">
      <c r="A25" s="19" t="s">
        <v>101</v>
      </c>
      <c r="B25" s="18">
        <f>VLOOKUP($A25,Questions!$A$2:$X$333,2,0)</f>
      </c>
      <c r="C25" s="21" t="s">
        <v>40</v>
      </c>
      <c r="D25" s="307" t="s">
        <v>2017</v>
      </c>
      <c r="E25" s="166">
        <f>IF($C$18='Auto Responses'!$J$4,'Auto Responses'!$A$4,IF($C25='Auto Responses'!$J$3,VLOOKUP($A25,Questions!$A$2:$X$333,17,0)&amp;"",IF($C25='Auto Responses'!$J$4,VLOOKUP($A25,Questions!$A$2:$X$333,16,0)&amp;"",VLOOKUP($A25,Questions!$A$2:$X$333,15,0)&amp;"")))</f>
      </c>
      <c r="F25" s="200">
        <f>VLOOKUP($A25,'Institution Evaluation'!$A$56:$F$345,6,0)&amp;""</f>
      </c>
      <c r="I25" s="35"/>
      <c r="J25" s="35"/>
    </row>
    <row r="26" spans="1:10" s="1" customFormat="1" ht="82.5" customHeight="1" x14ac:dyDescent="0.15">
      <c r="A26" s="19" t="s">
        <v>103</v>
      </c>
      <c r="B26" s="18">
        <f>VLOOKUP($A26,Questions!$A$2:$X$333,2,0)</f>
      </c>
      <c r="C26" s="21" t="s">
        <v>40</v>
      </c>
      <c r="D26" s="307"/>
      <c r="E26" s="166" t="str">
        <f>IF($C$18='Auto Responses'!$J$4,'Auto Responses'!$A$4,IF($C26='Auto Responses'!$J$3,VLOOKUP($A26,Questions!$A$2:$X$333,17,0)&amp;"",IF($C26='Auto Responses'!$J$4,VLOOKUP($A26,Questions!$A$2:$X$333,16,0)&amp;"",VLOOKUP($A26,Questions!$A$2:$X$333,15,0)&amp;"")))</f>
      </c>
      <c r="F26" s="200">
        <f>VLOOKUP($A26,'Institution Evaluation'!$A$56:$F$345,6,0)&amp;""</f>
      </c>
      <c r="I26" s="35"/>
      <c r="J26" s="35"/>
    </row>
    <row r="27" spans="1:10" s="1" customFormat="1" ht="161.25" customHeight="1" x14ac:dyDescent="0.15">
      <c r="A27" s="19" t="s">
        <v>106</v>
      </c>
      <c r="B27" s="18">
        <f>VLOOKUP($A27,Questions!$A$2:$X$333,2,0)</f>
      </c>
      <c r="C27" s="21" t="s">
        <v>148</v>
      </c>
      <c r="D27" s="307" t="s">
        <v>2018</v>
      </c>
      <c r="E27" s="166">
        <f>IF($C$18='Auto Responses'!$J$4,'Auto Responses'!$A$4,IF($C27='Auto Responses'!$J$3,VLOOKUP($A27,Questions!$A$2:$X$333,17,0)&amp;"",IF($C27='Auto Responses'!$J$4,VLOOKUP($A27,Questions!$A$2:$X$333,16,0)&amp;"",VLOOKUP($A27,Questions!$A$2:$X$333,15,0)&amp;"")))</f>
      </c>
      <c r="F27" s="200">
        <f>VLOOKUP($A27,'Institution Evaluation'!$A$56:$F$345,6,0)&amp;""</f>
      </c>
      <c r="I27" s="35"/>
      <c r="J27" s="35"/>
    </row>
    <row r="28" spans="1:10" s="1" customFormat="1" ht="104.25" customHeight="1" x14ac:dyDescent="0.15">
      <c r="A28" s="19" t="s">
        <v>108</v>
      </c>
      <c r="B28" s="18">
        <f>VLOOKUP($A28,Questions!$A$2:$X$333,2,0)</f>
      </c>
      <c r="C28" s="21" t="s">
        <v>40</v>
      </c>
      <c r="D28" s="307" t="s">
        <v>2019</v>
      </c>
      <c r="E28" s="166">
        <f>IF($C$18='Auto Responses'!$J$4,'Auto Responses'!$A$4,IF($C28='Auto Responses'!$J$3,VLOOKUP($A28,Questions!$A$2:$X$333,17,0)&amp;"",IF($C28='Auto Responses'!$J$4,VLOOKUP($A28,Questions!$A$2:$X$333,16,0)&amp;"",VLOOKUP($A28,Questions!$A$2:$X$333,15,0)&amp;"")))</f>
      </c>
      <c r="F28" s="200">
        <f>VLOOKUP($A28,'Institution Evaluation'!$A$56:$F$345,6,0)&amp;""</f>
      </c>
      <c r="I28" s="35"/>
      <c r="J28" s="35"/>
    </row>
    <row r="29" spans="1:10" s="1" customFormat="1" ht="104.25" customHeight="1" x14ac:dyDescent="0.15">
      <c r="A29" s="19" t="s">
        <v>111</v>
      </c>
      <c r="B29" s="18">
        <f>VLOOKUP($A29,Questions!$A$2:$X$333,2,0)</f>
      </c>
      <c r="C29" s="21" t="s">
        <v>40</v>
      </c>
      <c r="D29" s="307" t="s">
        <v>2020</v>
      </c>
      <c r="E29" s="166">
        <f>IF($C$18='Auto Responses'!$J$4,'Auto Responses'!$A$4,IF($C29='Auto Responses'!$J$3,VLOOKUP($A29,Questions!$A$2:$X$333,17,0)&amp;"",IF($C29='Auto Responses'!$J$4,VLOOKUP($A29,Questions!$A$2:$X$333,16,0)&amp;"",VLOOKUP($A29,Questions!$A$2:$X$333,15,0)&amp;"")))</f>
      </c>
      <c r="F29" s="200">
        <f>VLOOKUP($A29,'Institution Evaluation'!$A$56:$F$345,6,0)&amp;""</f>
      </c>
      <c r="I29" s="35"/>
      <c r="J29" s="35"/>
    </row>
    <row r="30" spans="1:10" s="1" customFormat="1" ht="93.75" customHeight="1" x14ac:dyDescent="0.15">
      <c r="A30" s="19" t="s">
        <v>112</v>
      </c>
      <c r="B30" s="18">
        <f>VLOOKUP($A30,Questions!$A$2:$X$333,2,0)</f>
      </c>
      <c r="C30" s="21" t="s">
        <v>148</v>
      </c>
      <c r="D30" s="307" t="s">
        <v>2021</v>
      </c>
      <c r="E30" s="166">
        <f>IF($C$18='Auto Responses'!$J$4,'Auto Responses'!$A$4,IF($C30='Auto Responses'!$J$3,VLOOKUP($A30,Questions!$A$2:$X$333,17,0)&amp;"",IF($C30='Auto Responses'!$J$4,VLOOKUP($A30,Questions!$A$2:$X$333,16,0)&amp;"",VLOOKUP($A30,Questions!$A$2:$X$333,15,0)&amp;"")))</f>
      </c>
      <c r="F30" s="200">
        <f>VLOOKUP($A30,'Institution Evaluation'!$A$56:$F$345,6,0)&amp;""</f>
      </c>
      <c r="I30" s="35"/>
      <c r="J30" s="35"/>
    </row>
    <row r="31" spans="1:10" s="1" customFormat="1" ht="120" customHeight="1" x14ac:dyDescent="0.15">
      <c r="A31" s="19" t="s">
        <v>113</v>
      </c>
      <c r="B31" s="18">
        <f>VLOOKUP($A31,Questions!$A$2:$X$333,2,0)</f>
      </c>
      <c r="C31" s="21" t="inlineStr">
        <is>
          <t xml:space="preserve">Yes</t>
        </is>
      </c>
      <c r="D31" s="307" t="inlineStr">
        <is>
          <t xml:space="preserve">Each WCAG 2.1 A/AA criterion is re-tested (NVDA, axe DevTools, Lighthouse, manual keyboard/focus/reflow) before each ACR and at least annually; criteria are marked supported only after testing.</t>
        </is>
      </c>
      <c r="E31" s="166">
        <f>IF($C$18='Auto Responses'!$J$4,'Auto Responses'!$A$4,IF($C31='Auto Responses'!$J$3,VLOOKUP($A31,Questions!$A$2:$X$333,17,0)&amp;"",IF($C31='Auto Responses'!$J$4,VLOOKUP($A31,Questions!$A$2:$X$333,16,0)&amp;"",VLOOKUP($A31,Questions!$A$2:$X$333,15,0)&amp;"")))</f>
      </c>
      <c r="F31" s="200">
        <f>VLOOKUP($A31,'Institution Evaluation'!$A$56:$F$345,6,0)&amp;""</f>
      </c>
      <c r="I31" s="35"/>
      <c r="J31" s="35"/>
    </row>
    <row r="32" spans="1:10" s="1" customFormat="1" ht="108" customHeight="1" x14ac:dyDescent="0.15">
      <c r="A32" s="19" t="s">
        <v>114</v>
      </c>
      <c r="B32" s="18">
        <f>VLOOKUP($A32,Questions!$A$2:$X$333,2,0)</f>
      </c>
      <c r="C32" s="21" t="s">
        <v>40</v>
      </c>
      <c r="D32" s="307" t="s">
        <v>2023</v>
      </c>
      <c r="E32" s="166">
        <f>IF($C$18='Auto Responses'!$J$4,'Auto Responses'!$A$4,IF($C32='Auto Responses'!$J$3,VLOOKUP($A32,Questions!$A$2:$X$333,17,0)&amp;"",IF($C32='Auto Responses'!$J$4,VLOOKUP($A32,Questions!$A$2:$X$333,16,0)&amp;"",VLOOKUP($A32,Questions!$A$2:$X$333,15,0)&amp;"")))</f>
      </c>
      <c r="F32" s="200">
        <f>VLOOKUP($A32,'Institution Evaluation'!$A$56:$F$345,6,0)&amp;""</f>
      </c>
      <c r="I32" s="35"/>
      <c r="J32" s="35"/>
    </row>
    <row r="33" spans="1:12" s="1" customFormat="1" ht="228" customHeight="1" x14ac:dyDescent="0.15">
      <c r="A33" s="19" t="s">
        <v>116</v>
      </c>
      <c r="B33" s="18">
        <f>VLOOKUP($A33,Questions!$A$2:$X$333,2,0)</f>
      </c>
      <c r="C33" s="21" t="inlineStr">
        <is>
          <t xml:space="preserve">Yes</t>
        </is>
      </c>
      <c r="D33" s="307" t="inlineStr">
        <is>
          <t xml:space="preserve">Roadmap with target quarters for each known exception (2.5.1, 1.4.10, 1.3.4 in Q1 2027; 2.2.2, 1.2.5 and WCAG 2.2 evaluation in Q2 2027; mobile evaluation Q3 2027); available on request.</t>
        </is>
      </c>
      <c r="E33" s="166">
        <f>IF($C$18='Auto Responses'!$J$4,'Auto Responses'!$A$4,IF($C33='Auto Responses'!$J$3,VLOOKUP($A33,Questions!$A$2:$X$333,17,0)&amp;"",IF($C33='Auto Responses'!$J$4,VLOOKUP($A33,Questions!$A$2:$X$333,16,0)&amp;"",VLOOKUP($A33,Questions!$A$2:$X$333,15,0)&amp;"")))</f>
      </c>
      <c r="F33" s="200">
        <f>VLOOKUP($A33,'Institution Evaluation'!$A$56:$F$345,6,0)&amp;""</f>
      </c>
      <c r="I33" s="35"/>
      <c r="J33" s="35"/>
    </row>
    <row r="34" spans="1:12" s="1" customFormat="1" ht="213" customHeight="1" x14ac:dyDescent="0.15">
      <c r="A34" s="19" t="s">
        <v>120</v>
      </c>
      <c r="B34" s="18">
        <f>VLOOKUP($A34,Questions!$A$2:$X$333,2,0)</f>
      </c>
      <c r="C34" s="21" t="s">
        <v>40</v>
      </c>
      <c r="D34" s="307"/>
      <c r="E34" s="166" t="str">
        <f>IF($C$18='Auto Responses'!$J$4,'Auto Responses'!$A$4,IF($C34='Auto Responses'!$J$3,VLOOKUP($A34,Questions!$A$2:$X$333,17,0)&amp;"",IF($C34='Auto Responses'!$J$4,VLOOKUP($A34,Questions!$A$2:$X$333,16,0)&amp;"",VLOOKUP($A34,Questions!$A$2:$X$333,15,0)&amp;"")))</f>
      </c>
      <c r="F34" s="200">
        <f>VLOOKUP($A34,'Institution Evaluation'!$A$56:$F$345,6,0)&amp;""</f>
      </c>
      <c r="I34" s="35"/>
      <c r="J34" s="35"/>
    </row>
    <row r="35" spans="1:12" s="1" customFormat="1" ht="213" customHeight="1" x14ac:dyDescent="0.15">
      <c r="A35" s="19" t="s">
        <v>123</v>
      </c>
      <c r="B35" s="18">
        <f>VLOOKUP($A35,Questions!$A$2:$X$333,2,0)</f>
      </c>
      <c r="C35" s="21" t="inlineStr">
        <is>
          <t xml:space="preserve">Yes</t>
        </is>
      </c>
      <c r="D35" s="307" t="inlineStr">
        <is>
          <t xml:space="preserve">Accessibility checks are part of design, build and pull-request review (keyboard walkthrough, axe scan, 200%/400% zoom, screen reader spot checks); accessibility defects are tracked and prioritized with other defects.</t>
        </is>
      </c>
      <c r="E35" s="166">
        <f>IF($C$18='Auto Responses'!$J$4,'Auto Responses'!$A$4,IF($C35='Auto Responses'!$J$3,VLOOKUP($A35,Questions!$A$2:$X$333,17,0)&amp;"",IF($C35='Auto Responses'!$J$4,VLOOKUP($A35,Questions!$A$2:$X$333,16,0)&amp;"",VLOOKUP($A35,Questions!$A$2:$X$333,15,0)&amp;"")))</f>
      </c>
      <c r="F35" s="200">
        <f>VLOOKUP($A35,'Institution Evaluation'!$A$56:$F$345,6,0)&amp;""</f>
      </c>
      <c r="I35" s="35"/>
      <c r="J35" s="35"/>
    </row>
    <row r="36" spans="1:12" s="1" customFormat="1" ht="38.25" customHeight="1" x14ac:dyDescent="0.15">
      <c r="A36" s="19" t="s">
        <v>126</v>
      </c>
      <c r="B36" s="18">
        <f>VLOOKUP($A36,Questions!$A$2:$X$333,2,0)</f>
      </c>
      <c r="C36" s="21" t="s">
        <v>40</v>
      </c>
      <c r="D36" s="307" t="s">
        <v>2024</v>
      </c>
      <c r="E36" s="166">
        <f>IF($C$18='Auto Responses'!$J$4,'Auto Responses'!$A$4,IF($C36='Auto Responses'!$J$3,VLOOKUP($A36,Questions!$A$2:$X$333,17,0)&amp;"",IF($C36='Auto Responses'!$J$4,VLOOKUP($A36,Questions!$A$2:$X$333,16,0)&amp;"",VLOOKUP($A36,Questions!$A$2:$X$333,15,0)&amp;"")))</f>
      </c>
      <c r="F36" s="200">
        <f>VLOOKUP($A36,'Institution Evaluation'!$A$56:$F$345,6,0)&amp;""</f>
      </c>
      <c r="I36" s="35"/>
      <c r="J36" s="35"/>
    </row>
    <row r="37" spans="1:12" s="1" customFormat="1" ht="127.5" customHeight="1" x14ac:dyDescent="0.15">
      <c r="A37" s="19" t="s">
        <v>129</v>
      </c>
      <c r="B37" s="18">
        <f>VLOOKUP($A37,Questions!$A$2:$X$333,2,0)</f>
      </c>
      <c r="C37" s="21" t="s">
        <v>148</v>
      </c>
      <c r="D37" s="307"/>
      <c r="E37" s="166" t="str">
        <f>IF($C$18='Auto Responses'!$J$4,'Auto Responses'!$A$4,IF($C37='Auto Responses'!$J$3,VLOOKUP($A37,Questions!$A$2:$X$333,17,0)&amp;"",IF($C37='Auto Responses'!$J$4,VLOOKUP($A37,Questions!$A$2:$X$333,16,0)&amp;"",VLOOKUP($A37,Questions!$A$2:$X$333,15,0)&amp;"")))</f>
      </c>
      <c r="F37" s="200">
        <f>VLOOKUP($A37,'Institution Evaluation'!$A$56:$F$345,6,0)&amp;""</f>
      </c>
      <c r="G37" s="235" t="s">
        <v>1448</v>
      </c>
      <c r="I37" s="35"/>
      <c r="J37" s="35"/>
    </row>
    <row r="38" spans="1:12" s="170" customFormat="1" ht="42" customHeight="1" x14ac:dyDescent="0.15">
      <c r="A38" s="262" t="s">
        <v>1505</v>
      </c>
      <c r="B38" s="248"/>
      <c r="C38" s="249"/>
      <c r="D38" s="308"/>
      <c r="E38" s="251"/>
      <c r="F38" s="252"/>
      <c r="G38" s="253"/>
      <c r="I38" s="171"/>
      <c r="J38" s="171"/>
    </row>
    <row r="39" spans="1:12" s="1" customFormat="1" ht="15" hidden="1" customHeight="1" x14ac:dyDescent="0.15">
      <c r="A39"/>
      <c r="C39" s="8"/>
      <c r="D39" s="9"/>
      <c r="E39" s="10"/>
      <c r="I39" s="35"/>
      <c r="J39" s="35"/>
    </row>
    <row r="40" spans="1:12" ht="15" hidden="1" customHeight="1" x14ac:dyDescent="0.15">
      <c r="A40" s="1"/>
      <c r="B40" s="8"/>
      <c r="C40" s="70"/>
      <c r="D40" s="10"/>
      <c r="E40" s="1"/>
      <c r="H40" s="35"/>
      <c r="I40" s="1"/>
      <c r="J40" s="1"/>
      <c r="L40"/>
    </row>
    <row r="41" spans="1:12" ht="0" hidden="1" customHeight="1" x14ac:dyDescent="0.15">
      <c r="A41" s="19" t="e">
        <f>#REF!</f>
      </c>
    </row>
    <row r="42" spans="1:12" ht="0" hidden="1" customHeight="1" x14ac:dyDescent="0.15">
      <c r="A42" s="19">
        <f>#REF!</f>
      </c>
    </row>
    <row r="43" spans="1:12" ht="0" hidden="1" customHeight="1" x14ac:dyDescent="0.15">
      <c r="A43" s="19">
        <f>#REF!</f>
      </c>
    </row>
    <row r="44" spans="1:12" ht="0" hidden="1" customHeight="1" x14ac:dyDescent="0.15">
      <c r="A44" s="19">
        <f>#REF!</f>
      </c>
    </row>
    <row r="45" spans="1:12" ht="0" hidden="1" customHeight="1" x14ac:dyDescent="0.15">
      <c r="A45" s="19">
        <f>#REF!</f>
      </c>
    </row>
    <row r="46" spans="1:12" ht="0" hidden="1" customHeight="1" x14ac:dyDescent="0.15">
      <c r="A46" s="19">
        <f>#REF!</f>
      </c>
    </row>
    <row r="47" spans="1:12" ht="0" hidden="1" customHeight="1" x14ac:dyDescent="0.15">
      <c r="A47" s="19">
        <f>#REF!</f>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For full instructions, please visit the HECVAT website." xr:uid="{5A6CDD08-3A9C-4C08-90F5-EFD4549B700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79" zoomScale="80" zoomScaleNormal="80" workbookViewId="0">
      <selection activeCell="C74" sqref="C74"/>
    </sheetView>
  </sheetViews>
  <sheetFormatPr baseColWidth="10" defaultColWidth="0" defaultRowHeight="0" customHeight="1" zeroHeight="1" x14ac:dyDescent="0.15"/>
  <cols>
    <col min="1" max="1" width="8.25" customWidth="1"/>
    <col min="2" max="2" width="55.125" style="1" customWidth="1"/>
    <col min="3" max="3" width="20.5" style="8" bestFit="1" customWidth="1"/>
    <col min="4" max="4" width="55.625" style="9" customWidth="1"/>
    <col min="5" max="5" width="32" style="10" customWidth="1"/>
    <col min="6" max="6" width="32" style="1" customWidth="1"/>
    <col min="7" max="7" width="18.125" style="1" customWidth="1"/>
    <col min="8" max="8" width="18.125" style="1" hidden="1" customWidth="1"/>
    <col min="9" max="10" width="18.125" style="35" hidden="1" customWidth="1"/>
    <col min="11" max="11" width="4.5" style="1" hidden="1" customWidth="1"/>
    <col min="12" max="12" width="6.625" style="1" hidden="1" customWidth="1"/>
    <col min="13" max="16384" width="6.625" hidden="1"/>
  </cols>
  <sheetData>
    <row r="1" spans="1:10" ht="20.25" hidden="1" customHeight="1" x14ac:dyDescent="0.15">
      <c r="A1" t="s">
        <v>1447</v>
      </c>
    </row>
    <row r="2" spans="1:10" ht="36" customHeight="1" x14ac:dyDescent="0.15">
      <c r="A2" s="167" t="s">
        <v>1378</v>
      </c>
      <c r="B2" s="167"/>
      <c r="C2" s="168"/>
      <c r="D2" s="302"/>
      <c r="E2" s="169"/>
      <c r="F2" s="169" t="str">
        <f>'Auto Responses'!$A$36</f>
      </c>
      <c r="J2" s="1"/>
    </row>
    <row r="3" spans="1:10" s="1" customFormat="1" ht="29.25" customHeight="1" x14ac:dyDescent="0.15">
      <c r="A3" s="37" t="s">
        <v>940</v>
      </c>
      <c r="B3" s="38"/>
      <c r="C3" s="66">
        <f>'START HERE'!$C$3</f>
      </c>
      <c r="D3" s="303"/>
      <c r="E3" s="36"/>
      <c r="F3" s="50"/>
      <c r="I3" s="35"/>
    </row>
    <row r="4" spans="1:10" s="1" customFormat="1" ht="36" customHeight="1" x14ac:dyDescent="0.15">
      <c r="A4" s="11" t="s">
        <v>865</v>
      </c>
      <c r="B4" s="12"/>
      <c r="C4" s="13"/>
      <c r="D4" s="14"/>
      <c r="E4" s="15"/>
      <c r="F4" s="15"/>
      <c r="I4" s="35"/>
    </row>
    <row r="5" spans="1:10" s="1" customFormat="1" ht="19.5" customHeight="1" x14ac:dyDescent="0.15">
      <c r="A5" s="42" t="str">
        <f>HLOOKUP($A$4,'Auto Responses'!$D$2:$D$8,2,0)&amp;""</f>
      </c>
      <c r="B5" s="16"/>
      <c r="C5" s="67"/>
      <c r="D5" s="304"/>
      <c r="E5" s="16"/>
      <c r="F5" s="256"/>
      <c r="I5" s="35"/>
    </row>
    <row r="6" spans="1:10" s="1" customFormat="1" ht="19.5" customHeight="1" x14ac:dyDescent="0.15">
      <c r="A6" s="42" t="str">
        <f>HLOOKUP($A$4,'Auto Responses'!$D$2:$D$8,3,0)&amp;""</f>
      </c>
      <c r="B6" s="16"/>
      <c r="C6" s="67"/>
      <c r="D6" s="304"/>
      <c r="E6" s="16"/>
      <c r="F6" s="257"/>
      <c r="I6" s="35"/>
    </row>
    <row r="7" spans="1:10"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15">
      <c r="A8" s="42" t="str">
        <f>HLOOKUP($A$4,'Auto Responses'!$D$2:$D$8,5,0)&amp;""</f>
      </c>
      <c r="B8" s="16"/>
      <c r="C8" s="67"/>
      <c r="D8" s="304"/>
      <c r="E8" s="16"/>
      <c r="F8" s="257"/>
      <c r="I8" s="35"/>
    </row>
    <row r="9" spans="1:10" s="1" customFormat="1" ht="19.5" customHeight="1" x14ac:dyDescent="0.15">
      <c r="A9" s="42" t="str">
        <f>HLOOKUP($A$4,'Auto Responses'!$D$2:$D$8,6,0)&amp;""</f>
      </c>
      <c r="B9" s="16"/>
      <c r="C9" s="67"/>
      <c r="D9" s="304"/>
      <c r="E9" s="16"/>
      <c r="F9" s="257"/>
      <c r="I9" s="35"/>
    </row>
    <row r="10" spans="1:10" s="1" customFormat="1" ht="19.5" customHeight="1" x14ac:dyDescent="0.15">
      <c r="A10" s="243" t="str">
        <f>HLOOKUP($A$4,'Auto Responses'!$D$2:$D$8,7,0)&amp;""</f>
      </c>
      <c r="B10" s="16"/>
      <c r="C10" s="67"/>
      <c r="D10" s="304"/>
      <c r="E10" s="16"/>
      <c r="F10" s="257"/>
      <c r="I10" s="35"/>
    </row>
    <row r="11" spans="1:10" s="1" customFormat="1" ht="19.5" customHeight="1" x14ac:dyDescent="0.15">
      <c r="A11" s="360" t="str">
        <f>HLOOKUP($A$4,'Auto Responses'!$D$2:$D$9,8,0)&amp;""</f>
      </c>
      <c r="B11" s="16"/>
      <c r="C11" s="67"/>
      <c r="D11" s="304"/>
      <c r="E11" s="16"/>
      <c r="F11" s="258"/>
      <c r="I11" s="35"/>
    </row>
    <row r="12" spans="1:10" s="1" customFormat="1" ht="36" customHeight="1" x14ac:dyDescent="0.15">
      <c r="A12" s="63" t="str">
        <f>VLOOKUP(LEFT($A13,4),'Auto Responses'!$N$4:$O$38,2,0)&amp;""</f>
        <v xml:space="preserve"> General Information</v>
      </c>
      <c r="B12" s="12"/>
      <c r="C12" s="13" t="s">
        <v>1495</v>
      </c>
      <c r="D12" s="305"/>
      <c r="E12" s="17"/>
      <c r="F12" s="17"/>
      <c r="I12" s="35"/>
      <c r="J12" s="35"/>
    </row>
    <row r="13" spans="1:10" s="1" customFormat="1" ht="22.5" customHeight="1" x14ac:dyDescent="0.15">
      <c r="A13" s="19" t="s">
        <v>21</v>
      </c>
      <c r="B13" s="20">
        <f>VLOOKUP($A13,Questions!$A$2:$X$333,2,0)&amp;""</f>
      </c>
      <c r="C13" s="75">
        <f>VLOOKUP($A13,'START HERE'!$A$13:$C$21,3,0)&amp;""</f>
      </c>
      <c r="D13" s="32"/>
      <c r="E13" s="32"/>
      <c r="F13" s="50"/>
      <c r="I13" s="35"/>
      <c r="J13" s="35"/>
    </row>
    <row r="14" spans="1:10" s="1" customFormat="1" ht="22.5" customHeight="1" x14ac:dyDescent="0.15">
      <c r="A14" s="19" t="s">
        <v>24</v>
      </c>
      <c r="B14" s="20">
        <f>VLOOKUP($A14,Questions!$A$2:$X$333,2,0)&amp;""</f>
      </c>
      <c r="C14" s="75">
        <f>VLOOKUP($A14,'START HERE'!$A$13:$C$21,3,0)&amp;""</f>
      </c>
      <c r="D14" s="32"/>
      <c r="E14" s="32"/>
      <c r="F14" s="50"/>
      <c r="I14" s="35"/>
      <c r="J14" s="35"/>
    </row>
    <row r="15" spans="1:10" s="1" customFormat="1" ht="22.5" customHeight="1" x14ac:dyDescent="0.15">
      <c r="A15" s="19" t="s">
        <v>25</v>
      </c>
      <c r="B15" s="20">
        <f>VLOOKUP($A15,Questions!$A$2:$X$333,2,0)&amp;""</f>
      </c>
      <c r="C15" s="75">
        <f>VLOOKUP($A15,'START HERE'!$A$13:$C$21,3,0)&amp;""</f>
      </c>
      <c r="D15" s="32"/>
      <c r="E15" s="32"/>
      <c r="F15" s="50"/>
      <c r="I15" s="35"/>
      <c r="J15" s="35"/>
    </row>
    <row r="16" spans="1:10" s="1" customFormat="1" ht="22.5" customHeight="1" thickBot="1" x14ac:dyDescent="0.2">
      <c r="A16" s="19" t="s">
        <v>30</v>
      </c>
      <c r="B16" s="20">
        <f>VLOOKUP($A16,Questions!$A$2:$X$333,2,0)&amp;""</f>
      </c>
      <c r="C16" s="75">
        <f>VLOOKUP($A16,'START HERE'!$A$13:$C$21,3,0)&amp;""</f>
      </c>
      <c r="D16" s="32"/>
      <c r="E16" s="32"/>
      <c r="F16" s="50"/>
      <c r="I16" s="35"/>
      <c r="J16" s="35"/>
    </row>
    <row r="17" spans="1:10" s="1" customFormat="1" ht="37.5" customHeight="1" thickBot="1" x14ac:dyDescent="0.2">
      <c r="A17" s="63" t="str">
        <f>VLOOKUP(LEFT($A18,4),'Auto Responses'!$N$4:$O$38,2,0)&amp;""</f>
        <v xml:space="preserve"> Required Questions</v>
      </c>
      <c r="B17" s="22"/>
      <c r="C17" s="13" t="s">
        <v>1495</v>
      </c>
      <c r="D17" s="13" t="s">
        <v>72</v>
      </c>
      <c r="E17" s="31" t="s">
        <v>848</v>
      </c>
      <c r="F17" s="186" t="s">
        <v>849</v>
      </c>
      <c r="I17" s="35"/>
      <c r="J17" s="35"/>
    </row>
    <row r="18" spans="1:10" s="1" customFormat="1" ht="38.25" customHeight="1" x14ac:dyDescent="0.15">
      <c r="A18" s="19" t="s">
        <v>54</v>
      </c>
      <c r="B18" s="18">
        <f>VLOOKUP($A18,Questions!$A$2:$X$333,2,0)</f>
      </c>
      <c r="C18" s="72">
        <f>VLOOKUP($A18,'START HERE'!$A$23:$F$36,3,0)&amp;""</f>
      </c>
      <c r="D18" s="309">
        <f>VLOOKUP($A18,'START HERE'!$A$23:$F$36,4,0)&amp;""</f>
      </c>
      <c r="E18" s="166">
        <f>IF($C18='Auto Responses'!$J$3,VLOOKUP($A18,Questions!$A$2:$X$333,17,0)&amp;"",IF($C18='Auto Responses'!$J$4,VLOOKUP($A18,Questions!$A$2:$X$333,16,0)&amp;"",VLOOKUP($A18,Questions!$A$2:$X$333,15,0)&amp;""))</f>
      </c>
      <c r="F18" s="200">
        <f>VLOOKUP($A18,'Institution Evaluation'!$A$56:$F$345,6,0)&amp;""</f>
      </c>
      <c r="I18" s="35"/>
      <c r="J18" s="35"/>
    </row>
    <row r="19" spans="1:10" s="1" customFormat="1" ht="51.75" customHeight="1" x14ac:dyDescent="0.15">
      <c r="A19" s="19" t="s">
        <v>61</v>
      </c>
      <c r="B19" s="18">
        <f>VLOOKUP($A19,Questions!$A$2:$X$333,2,0)</f>
      </c>
      <c r="C19" s="72">
        <f>VLOOKUP($A19,'START HERE'!$A$23:$F$36,3,0)&amp;""</f>
      </c>
      <c r="D19" s="309">
        <f>VLOOKUP($A19,'START HERE'!$A$23:$F$36,4,0)&amp;""</f>
      </c>
      <c r="E19" s="166">
        <f>IF($C19='Auto Responses'!$J$3,VLOOKUP($A19,Questions!$A$2:$X$333,17,0)&amp;"",IF($C19='Auto Responses'!$J$4,VLOOKUP($A19,Questions!$A$2:$X$333,16,0)&amp;"",VLOOKUP($A19,Questions!$A$2:$X$333,15,0)&amp;""))</f>
      </c>
      <c r="F19" s="200">
        <f>VLOOKUP($A19,'Institution Evaluation'!$A$56:$F$345,6,0)&amp;""</f>
      </c>
      <c r="I19" s="35"/>
      <c r="J19" s="35"/>
    </row>
    <row r="20" spans="1:10" s="1" customFormat="1" ht="51.75" customHeight="1" x14ac:dyDescent="0.15">
      <c r="A20" s="19" t="s">
        <v>64</v>
      </c>
      <c r="B20" s="18">
        <f>VLOOKUP($A20,Questions!$A$2:$X$333,2,0)</f>
      </c>
      <c r="C20" s="72">
        <f>VLOOKUP($A20,'START HERE'!$A$23:$F$36,3,0)&amp;""</f>
      </c>
      <c r="D20" s="309">
        <f>VLOOKUP($A20,'START HERE'!$A$23:$F$36,4,0)&amp;""</f>
      </c>
      <c r="E20" s="166">
        <f>IF($C20='Auto Responses'!$J$3,VLOOKUP($A20,Questions!$A$2:$X$333,17,0)&amp;"",IF($C20='Auto Responses'!$J$4,VLOOKUP($A20,Questions!$A$2:$X$333,16,0)&amp;"",VLOOKUP($A20,Questions!$A$2:$X$333,15,0)&amp;""))</f>
      </c>
      <c r="F20" s="200">
        <f>VLOOKUP($A20,'Institution Evaluation'!$A$56:$F$345,6,0)&amp;""</f>
      </c>
      <c r="I20" s="35"/>
      <c r="J20" s="35"/>
    </row>
    <row r="21" spans="1:10" s="1" customFormat="1" ht="69" customHeight="1" thickBot="1" x14ac:dyDescent="0.2">
      <c r="A21" s="19" t="s">
        <v>67</v>
      </c>
      <c r="B21" s="18">
        <f>VLOOKUP($A21,Questions!$A$2:$X$333,2,0)</f>
      </c>
      <c r="C21" s="72">
        <f>VLOOKUP($A21,'START HERE'!$A$23:$F$36,3,0)&amp;""</f>
      </c>
      <c r="D21" s="309">
        <f>VLOOKUP($A21,'START HERE'!$A$23:$F$36,4,0)&amp;""</f>
      </c>
      <c r="E21" s="166">
        <f>IF($C21='Auto Responses'!$J$3,VLOOKUP($A21,Questions!$A$2:$X$333,17,0)&amp;"",IF($C21='Auto Responses'!$J$4,VLOOKUP($A21,Questions!$A$2:$X$333,16,0)&amp;"",VLOOKUP($A21,Questions!$A$2:$X$333,15,0)&amp;""))</f>
      </c>
      <c r="F21" s="200">
        <f>VLOOKUP($A21,'Institution Evaluation'!$A$56:$F$345,6,0)&amp;""</f>
      </c>
      <c r="G21" s="235" t="s">
        <v>1448</v>
      </c>
      <c r="I21" s="35"/>
      <c r="J21" s="35"/>
    </row>
    <row r="22" spans="1:10" s="1" customFormat="1" ht="37.5" customHeight="1" thickBot="1" x14ac:dyDescent="0.2">
      <c r="A22" s="63" t="str">
        <f>VLOOKUP(LEFT($A23,4),'Auto Responses'!$N$4:$O$38,2,0)&amp;""</f>
        <v xml:space="preserve"> Consulting Services</v>
      </c>
      <c r="B22" s="22"/>
      <c r="C22" s="13" t="s">
        <v>1495</v>
      </c>
      <c r="D22" s="13" t="s">
        <v>72</v>
      </c>
      <c r="E22" s="31" t="s">
        <v>848</v>
      </c>
      <c r="F22" s="186" t="s">
        <v>849</v>
      </c>
      <c r="I22" s="35"/>
      <c r="J22" s="35"/>
    </row>
    <row r="23" spans="1:10" s="1" customFormat="1" ht="45" x14ac:dyDescent="0.15">
      <c r="A23" s="19" t="s">
        <v>145</v>
      </c>
      <c r="B23" s="18">
        <f>VLOOKUP($A23,Questions!$A$2:$X$333,2,0)</f>
      </c>
      <c r="C23" s="21"/>
      <c r="D23" s="23" t="s">
        <v>2025</v>
      </c>
      <c r="E23" s="166">
        <f>IF($C$18='Auto Responses'!$J$4,'Auto Responses'!$A$5,IF($C23='Auto Responses'!$J$3,VLOOKUP($A23,Questions!$A$2:$X$333,17,0)&amp;"",IF($C23='Auto Responses'!$J$4,VLOOKUP($A23,Questions!$A$2:$X$333,16,0)&amp;"",VLOOKUP($A23,Questions!$A$2:$X$333,15,0)&amp;"")))</f>
      </c>
      <c r="F23" s="200">
        <f>VLOOKUP($A23,'Institution Evaluation'!$A$56:$F$345,6,0)&amp;""</f>
      </c>
      <c r="I23" s="35"/>
      <c r="J23" s="35"/>
    </row>
    <row r="24" spans="1:10" s="1" customFormat="1" ht="45" x14ac:dyDescent="0.15">
      <c r="A24" s="19" t="s">
        <v>149</v>
      </c>
      <c r="B24" s="18">
        <f>VLOOKUP($A24,Questions!$A$2:$X$333,2,0)</f>
      </c>
      <c r="C24" s="21"/>
      <c r="D24" s="320" t="s">
        <v>2025</v>
      </c>
      <c r="E24" s="166">
        <f>IF($C$18='Auto Responses'!$J$4,'Auto Responses'!$A$5,IF($C24='Auto Responses'!$J$3,VLOOKUP($A24,Questions!$A$2:$X$333,17,0)&amp;"",IF($C24='Auto Responses'!$J$4,VLOOKUP($A24,Questions!$A$2:$X$333,16,0)&amp;"",VLOOKUP($A24,Questions!$A$2:$X$333,15,0)&amp;"")))</f>
      </c>
      <c r="F24" s="200">
        <f>VLOOKUP($A24,'Institution Evaluation'!$A$56:$F$345,6,0)&amp;""</f>
      </c>
      <c r="I24" s="35"/>
      <c r="J24" s="35"/>
    </row>
    <row r="25" spans="1:10" s="1" customFormat="1" ht="36" customHeight="1" x14ac:dyDescent="0.15">
      <c r="A25" s="19" t="s">
        <v>150</v>
      </c>
      <c r="B25" s="18">
        <f>VLOOKUP($A25,Questions!$A$2:$X$333,2,0)</f>
      </c>
      <c r="C25" s="21"/>
      <c r="D25" s="320" t="s">
        <v>2025</v>
      </c>
      <c r="E25" s="166">
        <f>IF($C$18='Auto Responses'!$J$4,'Auto Responses'!$A$5,IF($C25='Auto Responses'!$J$3,VLOOKUP($A25,Questions!$A$2:$X$333,17,0)&amp;"",IF($C25='Auto Responses'!$J$4,VLOOKUP($A25,Questions!$A$2:$X$333,16,0)&amp;"",IF($C25='Auto Responses'!$J$5,VLOOKUP($A25,Questions!$A$2:$X$333,18,0)&amp;"",VLOOKUP($A25,Questions!$A$2:$X$333,15,0)&amp;""))))</f>
      </c>
      <c r="F25" s="200">
        <f>VLOOKUP($A25,'Institution Evaluation'!$A$56:$F$345,6,0)&amp;""</f>
      </c>
      <c r="H25" s="170"/>
      <c r="I25" s="35"/>
      <c r="J25" s="35"/>
    </row>
    <row r="26" spans="1:10" s="1" customFormat="1" ht="45" x14ac:dyDescent="0.15">
      <c r="A26" s="19" t="s">
        <v>152</v>
      </c>
      <c r="B26" s="18">
        <f>VLOOKUP($A26,Questions!$A$2:$X$333,2,0)</f>
      </c>
      <c r="C26" s="21"/>
      <c r="D26" s="320" t="s">
        <v>2025</v>
      </c>
      <c r="E26" s="166">
        <f>IF($C$18='Auto Responses'!$J$4,'Auto Responses'!$A$5,IF($C26='Auto Responses'!$J$3,VLOOKUP($A26,Questions!$A$2:$X$333,17,0)&amp;"",IF($C26='Auto Responses'!$J$4,VLOOKUP($A26,Questions!$A$2:$X$333,16,0)&amp;"",IF($C26='Auto Responses'!$J$5,VLOOKUP($A26,Questions!$A$2:$X$333,18,0)&amp;"",VLOOKUP($A26,Questions!$A$2:$X$333,15,0)&amp;""))))</f>
      </c>
      <c r="F26" s="200">
        <f>VLOOKUP($A26,'Institution Evaluation'!$A$56:$F$345,6,0)&amp;""</f>
      </c>
      <c r="I26" s="35"/>
      <c r="J26" s="35"/>
    </row>
    <row r="27" spans="1:10" s="1" customFormat="1" ht="45" x14ac:dyDescent="0.15">
      <c r="A27" s="19" t="s">
        <v>154</v>
      </c>
      <c r="B27" s="18">
        <f>VLOOKUP($A27,Questions!$A$2:$X$333,2,0)</f>
      </c>
      <c r="C27" s="21"/>
      <c r="D27" s="320" t="s">
        <v>2025</v>
      </c>
      <c r="E27" s="166">
        <f>IF($C$18='Auto Responses'!$J$4,'Auto Responses'!$A$5,IF($C27='Auto Responses'!$J$3,VLOOKUP($A27,Questions!$A$2:$X$333,17,0)&amp;"",IF($C27='Auto Responses'!$J$4,VLOOKUP($A27,Questions!$A$2:$X$333,16,0)&amp;"",VLOOKUP($A27,Questions!$A$2:$X$333,15,0)&amp;"")))</f>
      </c>
      <c r="F27" s="200">
        <f>VLOOKUP($A27,'Institution Evaluation'!$A$56:$F$345,6,0)&amp;""</f>
      </c>
      <c r="I27" s="35"/>
      <c r="J27" s="35"/>
    </row>
    <row r="28" spans="1:10" s="1" customFormat="1" ht="45" x14ac:dyDescent="0.15">
      <c r="A28" s="19" t="s">
        <v>155</v>
      </c>
      <c r="B28" s="18">
        <f>VLOOKUP($A28,Questions!$A$2:$X$333,2,0)</f>
      </c>
      <c r="C28" s="21"/>
      <c r="D28" s="320" t="s">
        <v>2025</v>
      </c>
      <c r="E28" s="166">
        <f>IF($C$18='Auto Responses'!$J$4,'Auto Responses'!$A$5,IF($C28='Auto Responses'!$J$3,VLOOKUP($A28,Questions!$A$2:$X$333,17,0)&amp;"",IF($C28='Auto Responses'!$J$4,VLOOKUP($A28,Questions!$A$2:$X$333,16,0)&amp;"",VLOOKUP($A28,Questions!$A$2:$X$333,15,0)&amp;"")))</f>
      </c>
      <c r="F28" s="200">
        <f>VLOOKUP($A28,'Institution Evaluation'!$A$56:$F$345,6,0)&amp;""</f>
      </c>
      <c r="I28" s="35"/>
      <c r="J28" s="35"/>
    </row>
    <row r="29" spans="1:10" s="1" customFormat="1" ht="45" x14ac:dyDescent="0.15">
      <c r="A29" s="19" t="s">
        <v>157</v>
      </c>
      <c r="B29" s="18">
        <f>VLOOKUP($A29,Questions!$A$2:$X$333,2,0)</f>
      </c>
      <c r="C29" s="21"/>
      <c r="D29" s="320" t="s">
        <v>2025</v>
      </c>
      <c r="E29" s="166">
        <f>IF($C$18='Auto Responses'!$J$4,'Auto Responses'!$A$5,IF($C29='Auto Responses'!$J$3,VLOOKUP($A29,Questions!$A$2:$X$333,17,0)&amp;"",IF($C29='Auto Responses'!$J$4,VLOOKUP($A29,Questions!$A$2:$X$333,16,0)&amp;"",VLOOKUP($A29,Questions!$A$2:$X$333,15,0)&amp;"")))</f>
      </c>
      <c r="F29" s="200">
        <f>VLOOKUP($A29,'Institution Evaluation'!$A$56:$F$345,6,0)&amp;""</f>
      </c>
      <c r="I29" s="35"/>
      <c r="J29" s="35"/>
    </row>
    <row r="30" spans="1:10" s="1" customFormat="1" ht="45" x14ac:dyDescent="0.15">
      <c r="A30" s="19" t="s">
        <v>158</v>
      </c>
      <c r="B30" s="18">
        <f>VLOOKUP($A30,Questions!$A$2:$X$333,2,0)</f>
      </c>
      <c r="C30" s="21"/>
      <c r="D30" s="320" t="s">
        <v>2025</v>
      </c>
      <c r="E30" s="166">
        <f>IF($C$18='Auto Responses'!$J$4,'Auto Responses'!$A$5,IF($C30='Auto Responses'!$J$3,VLOOKUP($A30,Questions!$A$2:$X$333,17,0)&amp;"",IF($C30='Auto Responses'!$J$4,VLOOKUP($A30,Questions!$A$2:$X$333,16,0)&amp;"",VLOOKUP($A30,Questions!$A$2:$X$333,15,0)&amp;"")))</f>
      </c>
      <c r="F30" s="200">
        <f>VLOOKUP($A30,'Institution Evaluation'!$A$56:$F$345,6,0)&amp;""</f>
      </c>
      <c r="I30" s="35"/>
      <c r="J30" s="35"/>
    </row>
    <row r="31" spans="1:10" s="1" customFormat="1" ht="46" thickBot="1" x14ac:dyDescent="0.2">
      <c r="A31" s="19" t="s">
        <v>160</v>
      </c>
      <c r="B31" s="18">
        <f>VLOOKUP($A31,Questions!$A$2:$X$333,2,0)</f>
      </c>
      <c r="C31" s="21"/>
      <c r="D31" s="320" t="s">
        <v>2025</v>
      </c>
      <c r="E31" s="166">
        <f>IF($C$18='Auto Responses'!$J$4,'Auto Responses'!$A$5,IF($C31='Auto Responses'!$J$3,VLOOKUP($A31,Questions!$A$2:$X$333,17,0)&amp;"",IF($C31='Auto Responses'!$J$4,VLOOKUP($A31,Questions!$A$2:$X$333,16,0)&amp;"",VLOOKUP($A31,Questions!$A$2:$X$333,15,0)&amp;"")))</f>
      </c>
      <c r="F31" s="200">
        <f>VLOOKUP($A31,'Institution Evaluation'!$A$56:$F$345,6,0)&amp;""</f>
      </c>
      <c r="G31" s="235" t="s">
        <v>1448</v>
      </c>
      <c r="I31" s="35"/>
      <c r="J31" s="35"/>
    </row>
    <row r="32" spans="1:10" s="1" customFormat="1" ht="37.5" customHeight="1" thickBot="1" x14ac:dyDescent="0.2">
      <c r="A32" s="63" t="str">
        <f>VLOOKUP(LEFT($A33,4),'Auto Responses'!$N$4:$O$38,2,0)&amp;""</f>
        <v xml:space="preserve">HIPAA Compliance </v>
      </c>
      <c r="B32" s="22"/>
      <c r="C32" s="13" t="s">
        <v>1495</v>
      </c>
      <c r="D32" s="13" t="s">
        <v>72</v>
      </c>
      <c r="E32" s="31" t="s">
        <v>848</v>
      </c>
      <c r="F32" s="186" t="s">
        <v>849</v>
      </c>
      <c r="I32" s="35"/>
      <c r="J32" s="35"/>
    </row>
    <row r="33" spans="1:10" s="1" customFormat="1" ht="49.5" customHeight="1" x14ac:dyDescent="0.15">
      <c r="A33" s="19" t="s">
        <v>590</v>
      </c>
      <c r="B33" s="18">
        <f>VLOOKUP($A33,Questions!$A$2:$X$333,2,0)</f>
      </c>
      <c r="C33" s="21"/>
      <c r="D33" s="320" t="s">
        <v>2026</v>
      </c>
      <c r="E33" s="166">
        <f>IF($C$19='Auto Responses'!$J$4,'Auto Responses'!$A$7,IF($C33='Auto Responses'!$J$3,VLOOKUP($A33,Questions!$A$2:$X$333,17,0)&amp;"",IF($C33='Auto Responses'!$J$4,VLOOKUP($A33,Questions!$A$2:$X$333,16,0)&amp;"",VLOOKUP($A33,Questions!$A$2:$X$333,15,0)&amp;"")))</f>
      </c>
      <c r="F33" s="200">
        <f>VLOOKUP($A33,'Institution Evaluation'!$A$56:$F$345,6,0)&amp;""</f>
      </c>
      <c r="I33" s="35"/>
      <c r="J33" s="35"/>
    </row>
    <row r="34" spans="1:10" s="1" customFormat="1" ht="49.5" customHeight="1" x14ac:dyDescent="0.15">
      <c r="A34" s="19" t="s">
        <v>595</v>
      </c>
      <c r="B34" s="18">
        <f>VLOOKUP($A34,Questions!$A$2:$X$333,2,0)</f>
      </c>
      <c r="C34" s="21"/>
      <c r="D34" s="320" t="s">
        <v>2026</v>
      </c>
      <c r="E34" s="166">
        <f>IF($C$19='Auto Responses'!$J$4,'Auto Responses'!$A$7,IF($C34='Auto Responses'!$J$3,VLOOKUP($A34,Questions!$A$2:$X$333,17,0)&amp;"",IF($C34='Auto Responses'!$J$4,VLOOKUP($A34,Questions!$A$2:$X$333,16,0)&amp;"",VLOOKUP($A34,Questions!$A$2:$X$333,15,0)&amp;"")))</f>
      </c>
      <c r="F34" s="200">
        <f>VLOOKUP($A34,'Institution Evaluation'!$A$56:$F$345,6,0)&amp;""</f>
      </c>
      <c r="I34" s="35"/>
      <c r="J34" s="35"/>
    </row>
    <row r="35" spans="1:10" s="1" customFormat="1" ht="49.5" customHeight="1" x14ac:dyDescent="0.15">
      <c r="A35" s="19" t="s">
        <v>597</v>
      </c>
      <c r="B35" s="18">
        <f>VLOOKUP($A35,Questions!$A$2:$X$333,2,0)</f>
      </c>
      <c r="C35" s="21"/>
      <c r="D35" s="320" t="s">
        <v>2026</v>
      </c>
      <c r="E35" s="166">
        <f>IF($C$19='Auto Responses'!$J$4,'Auto Responses'!$A$7,IF($C35='Auto Responses'!$J$3,VLOOKUP($A35,Questions!$A$2:$X$333,17,0)&amp;"",IF($C35='Auto Responses'!$J$4,VLOOKUP($A35,Questions!$A$2:$X$333,16,0)&amp;"",VLOOKUP($A35,Questions!$A$2:$X$333,15,0)&amp;"")))</f>
      </c>
      <c r="F35" s="200">
        <f>VLOOKUP($A35,'Institution Evaluation'!$A$56:$F$345,6,0)&amp;""</f>
      </c>
      <c r="I35" s="35"/>
      <c r="J35" s="35"/>
    </row>
    <row r="36" spans="1:10" s="1" customFormat="1" ht="49.5" customHeight="1" x14ac:dyDescent="0.15">
      <c r="A36" s="19" t="s">
        <v>599</v>
      </c>
      <c r="B36" s="18">
        <f>VLOOKUP($A36,Questions!$A$2:$X$333,2,0)</f>
      </c>
      <c r="C36" s="21"/>
      <c r="D36" s="320" t="s">
        <v>2026</v>
      </c>
      <c r="E36" s="166">
        <f>IF($C$19='Auto Responses'!$J$4,'Auto Responses'!$A$7,IF($C36='Auto Responses'!$J$3,VLOOKUP($A36,Questions!$A$2:$X$333,17,0)&amp;"",IF($C36='Auto Responses'!$J$4,VLOOKUP($A36,Questions!$A$2:$X$333,16,0)&amp;"",VLOOKUP($A36,Questions!$A$2:$X$333,15,0)&amp;"")))</f>
      </c>
      <c r="F36" s="200">
        <f>VLOOKUP($A36,'Institution Evaluation'!$A$56:$F$345,6,0)&amp;""</f>
      </c>
      <c r="I36" s="35"/>
      <c r="J36" s="35"/>
    </row>
    <row r="37" spans="1:10" s="1" customFormat="1" ht="49.5" customHeight="1" x14ac:dyDescent="0.15">
      <c r="A37" s="19" t="s">
        <v>601</v>
      </c>
      <c r="B37" s="18">
        <f>VLOOKUP($A37,Questions!$A$2:$X$333,2,0)</f>
      </c>
      <c r="C37" s="21"/>
      <c r="D37" s="320" t="s">
        <v>2026</v>
      </c>
      <c r="E37" s="166">
        <f>IF($C$19='Auto Responses'!$J$4,'Auto Responses'!$A$7,IF($C37='Auto Responses'!$J$3,VLOOKUP($A37,Questions!$A$2:$X$333,17,0)&amp;"",IF($C37='Auto Responses'!$J$4,VLOOKUP($A37,Questions!$A$2:$X$333,16,0)&amp;"",VLOOKUP($A37,Questions!$A$2:$X$333,15,0)&amp;"")))</f>
      </c>
      <c r="F37" s="200">
        <f>VLOOKUP($A37,'Institution Evaluation'!$A$56:$F$345,6,0)&amp;""</f>
      </c>
      <c r="I37" s="35"/>
      <c r="J37" s="35"/>
    </row>
    <row r="38" spans="1:10" s="1" customFormat="1" ht="49.5" customHeight="1" x14ac:dyDescent="0.15">
      <c r="A38" s="19" t="s">
        <v>602</v>
      </c>
      <c r="B38" s="18">
        <f>VLOOKUP($A38,Questions!$A$2:$X$333,2,0)</f>
      </c>
      <c r="C38" s="21"/>
      <c r="D38" s="320" t="s">
        <v>2026</v>
      </c>
      <c r="E38" s="166">
        <f>IF($C$19='Auto Responses'!$J$4,'Auto Responses'!$A$7,IF($C38='Auto Responses'!$J$3,VLOOKUP($A38,Questions!$A$2:$X$333,17,0)&amp;"",IF($C38='Auto Responses'!$J$4,VLOOKUP($A38,Questions!$A$2:$X$333,16,0)&amp;"",VLOOKUP($A38,Questions!$A$2:$X$333,15,0)&amp;"")))</f>
      </c>
      <c r="F38" s="200">
        <f>VLOOKUP($A38,'Institution Evaluation'!$A$56:$F$345,6,0)&amp;""</f>
      </c>
      <c r="I38" s="35"/>
      <c r="J38" s="35"/>
    </row>
    <row r="39" spans="1:10" s="1" customFormat="1" ht="49.5" customHeight="1" x14ac:dyDescent="0.15">
      <c r="A39" s="19" t="s">
        <v>603</v>
      </c>
      <c r="B39" s="18">
        <f>VLOOKUP($A39,Questions!$A$2:$X$333,2,0)</f>
      </c>
      <c r="C39" s="21"/>
      <c r="D39" s="320" t="s">
        <v>2026</v>
      </c>
      <c r="E39" s="166">
        <f>IF($C$19='Auto Responses'!$J$4,'Auto Responses'!$A$7,IF($C39='Auto Responses'!$J$3,VLOOKUP($A39,Questions!$A$2:$X$333,17,0)&amp;"",IF($C39='Auto Responses'!$J$4,VLOOKUP($A39,Questions!$A$2:$X$333,16,0)&amp;"",VLOOKUP($A39,Questions!$A$2:$X$333,15,0)&amp;"")))</f>
      </c>
      <c r="F39" s="200">
        <f>VLOOKUP($A39,'Institution Evaluation'!$A$56:$F$345,6,0)&amp;""</f>
      </c>
      <c r="I39" s="35"/>
      <c r="J39" s="35"/>
    </row>
    <row r="40" spans="1:10" s="1" customFormat="1" ht="49.5" customHeight="1" x14ac:dyDescent="0.15">
      <c r="A40" s="19" t="s">
        <v>605</v>
      </c>
      <c r="B40" s="18">
        <f>VLOOKUP($A40,Questions!$A$2:$X$333,2,0)</f>
      </c>
      <c r="C40" s="21"/>
      <c r="D40" s="320" t="s">
        <v>2026</v>
      </c>
      <c r="E40" s="166">
        <f>IF($C$19='Auto Responses'!$J$4,'Auto Responses'!$A$7,IF($C40='Auto Responses'!$J$3,VLOOKUP($A40,Questions!$A$2:$X$333,17,0)&amp;"",IF($C40='Auto Responses'!$J$4,VLOOKUP($A40,Questions!$A$2:$X$333,16,0)&amp;"",VLOOKUP($A40,Questions!$A$2:$X$333,15,0)&amp;"")))</f>
      </c>
      <c r="F40" s="200">
        <f>VLOOKUP($A40,'Institution Evaluation'!$A$56:$F$345,6,0)&amp;""</f>
      </c>
      <c r="I40" s="35"/>
      <c r="J40" s="35"/>
    </row>
    <row r="41" spans="1:10" s="1" customFormat="1" ht="49.5" customHeight="1" x14ac:dyDescent="0.15">
      <c r="A41" s="19" t="s">
        <v>607</v>
      </c>
      <c r="B41" s="18">
        <f>VLOOKUP($A41,Questions!$A$2:$X$333,2,0)</f>
      </c>
      <c r="C41" s="21"/>
      <c r="D41" s="320" t="s">
        <v>2026</v>
      </c>
      <c r="E41" s="166">
        <f>IF($C$19='Auto Responses'!$J$4,'Auto Responses'!$A$7,IF($C41='Auto Responses'!$J$3,VLOOKUP($A41,Questions!$A$2:$X$333,17,0)&amp;"",IF($C41='Auto Responses'!$J$4,VLOOKUP($A41,Questions!$A$2:$X$333,16,0)&amp;"",VLOOKUP($A41,Questions!$A$2:$X$333,15,0)&amp;"")))</f>
      </c>
      <c r="F41" s="200">
        <f>VLOOKUP($A41,'Institution Evaluation'!$A$56:$F$345,6,0)&amp;""</f>
      </c>
      <c r="I41" s="35"/>
      <c r="J41" s="35"/>
    </row>
    <row r="42" spans="1:10" s="1" customFormat="1" ht="49.5" customHeight="1" x14ac:dyDescent="0.15">
      <c r="A42" s="19" t="s">
        <v>609</v>
      </c>
      <c r="B42" s="18">
        <f>VLOOKUP($A42,Questions!$A$2:$X$333,2,0)</f>
      </c>
      <c r="C42" s="21"/>
      <c r="D42" s="320" t="s">
        <v>2026</v>
      </c>
      <c r="E42" s="166">
        <f>IF($C$19='Auto Responses'!$J$4,'Auto Responses'!$A$7,IF($C42='Auto Responses'!$J$3,VLOOKUP($A42,Questions!$A$2:$X$333,17,0)&amp;"",IF($C42='Auto Responses'!$J$4,VLOOKUP($A42,Questions!$A$2:$X$333,16,0)&amp;"",VLOOKUP($A42,Questions!$A$2:$X$333,15,0)&amp;"")))</f>
      </c>
      <c r="F42" s="200">
        <f>VLOOKUP($A42,'Institution Evaluation'!$A$56:$F$345,6,0)&amp;""</f>
      </c>
      <c r="I42" s="35"/>
      <c r="J42" s="35"/>
    </row>
    <row r="43" spans="1:10" s="1" customFormat="1" ht="49.5" customHeight="1" x14ac:dyDescent="0.15">
      <c r="A43" s="19" t="s">
        <v>611</v>
      </c>
      <c r="B43" s="18">
        <f>VLOOKUP($A43,Questions!$A$2:$X$333,2,0)</f>
      </c>
      <c r="C43" s="21"/>
      <c r="D43" s="314" t="s">
        <v>2026</v>
      </c>
      <c r="E43" s="166">
        <f>IF($C$19='Auto Responses'!$J$4,'Auto Responses'!$A$7,IF($C43='Auto Responses'!$J$3,VLOOKUP($A43,Questions!$A$2:$X$333,17,0)&amp;"",IF($C43='Auto Responses'!$J$4,VLOOKUP($A43,Questions!$A$2:$X$333,16,0)&amp;"",VLOOKUP($A43,Questions!$A$2:$X$333,15,0)&amp;"")))</f>
      </c>
      <c r="F43" s="200">
        <f>VLOOKUP($A43,'Institution Evaluation'!$A$56:$F$345,6,0)&amp;""</f>
      </c>
      <c r="I43" s="35"/>
      <c r="J43" s="35"/>
    </row>
    <row r="44" spans="1:10" s="1" customFormat="1" ht="49.5" customHeight="1" x14ac:dyDescent="0.15">
      <c r="A44" s="19" t="s">
        <v>613</v>
      </c>
      <c r="B44" s="18">
        <f>VLOOKUP($A44,Questions!$A$2:$X$333,2,0)</f>
      </c>
      <c r="C44" s="21"/>
      <c r="D44" s="314" t="s">
        <v>2026</v>
      </c>
      <c r="E44" s="166">
        <f>IF($C$19='Auto Responses'!$J$4,'Auto Responses'!$A$7,IF($C44='Auto Responses'!$J$3,VLOOKUP($A44,Questions!$A$2:$X$333,17,0)&amp;"",IF($C44='Auto Responses'!$J$4,VLOOKUP($A44,Questions!$A$2:$X$333,16,0)&amp;"",VLOOKUP($A44,Questions!$A$2:$X$333,15,0)&amp;"")))</f>
      </c>
      <c r="F44" s="200">
        <f>VLOOKUP($A44,'Institution Evaluation'!$A$56:$F$345,6,0)&amp;""</f>
      </c>
      <c r="I44" s="35"/>
      <c r="J44" s="35"/>
    </row>
    <row r="45" spans="1:10" s="1" customFormat="1" ht="49.5" customHeight="1" x14ac:dyDescent="0.15">
      <c r="A45" s="19" t="s">
        <v>615</v>
      </c>
      <c r="B45" s="18">
        <f>VLOOKUP($A45,Questions!$A$2:$X$333,2,0)</f>
      </c>
      <c r="C45" s="21"/>
      <c r="D45" s="314" t="s">
        <v>2026</v>
      </c>
      <c r="E45" s="166">
        <f>IF($C$19='Auto Responses'!$J$4,'Auto Responses'!$A$7,IF($C45='Auto Responses'!$J$3,VLOOKUP($A45,Questions!$A$2:$X$333,17,0)&amp;"",IF($C45='Auto Responses'!$J$4,VLOOKUP($A45,Questions!$A$2:$X$333,16,0)&amp;"",VLOOKUP($A45,Questions!$A$2:$X$333,15,0)&amp;"")))</f>
      </c>
      <c r="F45" s="200">
        <f>VLOOKUP($A45,'Institution Evaluation'!$A$56:$F$345,6,0)&amp;""</f>
      </c>
      <c r="I45" s="35"/>
      <c r="J45" s="35"/>
    </row>
    <row r="46" spans="1:10" s="1" customFormat="1" ht="49.5" customHeight="1" x14ac:dyDescent="0.15">
      <c r="A46" s="19" t="s">
        <v>617</v>
      </c>
      <c r="B46" s="18">
        <f>VLOOKUP($A46,Questions!$A$2:$X$333,2,0)</f>
      </c>
      <c r="C46" s="21"/>
      <c r="D46" s="314" t="s">
        <v>2026</v>
      </c>
      <c r="E46" s="166">
        <f>IF($C$19='Auto Responses'!$J$4,'Auto Responses'!$A$7,IF($C46='Auto Responses'!$J$3,VLOOKUP($A46,Questions!$A$2:$X$333,17,0)&amp;"",IF($C46='Auto Responses'!$J$4,VLOOKUP($A46,Questions!$A$2:$X$333,16,0)&amp;"",VLOOKUP($A46,Questions!$A$2:$X$333,15,0)&amp;"")))</f>
      </c>
      <c r="F46" s="200">
        <f>VLOOKUP($A46,'Institution Evaluation'!$A$56:$F$345,6,0)&amp;""</f>
      </c>
      <c r="I46" s="35"/>
      <c r="J46" s="35"/>
    </row>
    <row r="47" spans="1:10" s="1" customFormat="1" ht="49.5" customHeight="1" x14ac:dyDescent="0.15">
      <c r="A47" s="19" t="s">
        <v>619</v>
      </c>
      <c r="B47" s="18">
        <f>VLOOKUP($A47,Questions!$A$2:$X$333,2,0)</f>
      </c>
      <c r="C47" s="21"/>
      <c r="D47" s="314" t="s">
        <v>2026</v>
      </c>
      <c r="E47" s="166">
        <f>IF($C$19='Auto Responses'!$J$4,'Auto Responses'!$A$7,IF($C47='Auto Responses'!$J$3,VLOOKUP($A47,Questions!$A$2:$X$333,17,0)&amp;"",IF($C47='Auto Responses'!$J$4,VLOOKUP($A47,Questions!$A$2:$X$333,16,0)&amp;"",VLOOKUP($A47,Questions!$A$2:$X$333,15,0)&amp;"")))</f>
      </c>
      <c r="F47" s="200">
        <f>VLOOKUP($A47,'Institution Evaluation'!$A$56:$F$345,6,0)&amp;""</f>
      </c>
      <c r="I47" s="35"/>
      <c r="J47" s="35"/>
    </row>
    <row r="48" spans="1:10" s="1" customFormat="1" ht="49.5" customHeight="1" x14ac:dyDescent="0.15">
      <c r="A48" s="19" t="s">
        <v>621</v>
      </c>
      <c r="B48" s="18">
        <f>VLOOKUP($A48,Questions!$A$2:$X$333,2,0)</f>
      </c>
      <c r="C48" s="21"/>
      <c r="D48" s="314" t="s">
        <v>2026</v>
      </c>
      <c r="E48" s="166">
        <f>IF($C$19='Auto Responses'!$J$4,'Auto Responses'!$A$7,IF($C48='Auto Responses'!$J$3,VLOOKUP($A48,Questions!$A$2:$X$333,17,0)&amp;"",IF($C48='Auto Responses'!$J$4,VLOOKUP($A48,Questions!$A$2:$X$333,16,0)&amp;"",VLOOKUP($A48,Questions!$A$2:$X$333,15,0)&amp;"")))</f>
      </c>
      <c r="F48" s="200">
        <f>VLOOKUP($A48,'Institution Evaluation'!$A$56:$F$345,6,0)&amp;""</f>
      </c>
      <c r="I48" s="35"/>
      <c r="J48" s="35"/>
    </row>
    <row r="49" spans="1:10" s="1" customFormat="1" ht="49.5" customHeight="1" x14ac:dyDescent="0.15">
      <c r="A49" s="19" t="s">
        <v>623</v>
      </c>
      <c r="B49" s="18">
        <f>VLOOKUP($A49,Questions!$A$2:$X$333,2,0)</f>
      </c>
      <c r="C49" s="21"/>
      <c r="D49" s="314" t="s">
        <v>2026</v>
      </c>
      <c r="E49" s="166">
        <f>IF($C$19='Auto Responses'!$J$4,'Auto Responses'!$A$7,IF($C49='Auto Responses'!$J$3,VLOOKUP($A49,Questions!$A$2:$X$333,17,0)&amp;"",IF($C49='Auto Responses'!$J$4,VLOOKUP($A49,Questions!$A$2:$X$333,16,0)&amp;"",VLOOKUP($A49,Questions!$A$2:$X$333,15,0)&amp;"")))</f>
      </c>
      <c r="F49" s="200">
        <f>VLOOKUP($A49,'Institution Evaluation'!$A$56:$F$345,6,0)&amp;""</f>
      </c>
      <c r="I49" s="35"/>
      <c r="J49" s="35"/>
    </row>
    <row r="50" spans="1:10" s="1" customFormat="1" ht="49.5" customHeight="1" x14ac:dyDescent="0.15">
      <c r="A50" s="19" t="s">
        <v>625</v>
      </c>
      <c r="B50" s="18">
        <f>VLOOKUP($A50,Questions!$A$2:$X$333,2,0)</f>
      </c>
      <c r="C50" s="21"/>
      <c r="D50" s="314" t="s">
        <v>2026</v>
      </c>
      <c r="E50" s="166">
        <f>IF($C$19='Auto Responses'!$J$4,'Auto Responses'!$A$7,IF($C50='Auto Responses'!$J$3,VLOOKUP($A50,Questions!$A$2:$X$333,17,0)&amp;"",IF($C50='Auto Responses'!$J$4,VLOOKUP($A50,Questions!$A$2:$X$333,16,0)&amp;"",VLOOKUP($A50,Questions!$A$2:$X$333,15,0)&amp;"")))</f>
      </c>
      <c r="F50" s="200">
        <f>VLOOKUP($A50,'Institution Evaluation'!$A$56:$F$345,6,0)&amp;""</f>
      </c>
      <c r="I50" s="35"/>
      <c r="J50" s="35"/>
    </row>
    <row r="51" spans="1:10" s="1" customFormat="1" ht="49.5" customHeight="1" x14ac:dyDescent="0.15">
      <c r="A51" s="19" t="s">
        <v>626</v>
      </c>
      <c r="B51" s="18">
        <f>VLOOKUP($A51,Questions!$A$2:$X$333,2,0)</f>
      </c>
      <c r="C51" s="21"/>
      <c r="D51" s="314" t="s">
        <v>2026</v>
      </c>
      <c r="E51" s="166">
        <f>IF($C$19='Auto Responses'!$J$4,'Auto Responses'!$A$7,IF($C51='Auto Responses'!$J$3,VLOOKUP($A51,Questions!$A$2:$X$333,17,0)&amp;"",IF($C51='Auto Responses'!$J$4,VLOOKUP($A51,Questions!$A$2:$X$333,16,0)&amp;"",VLOOKUP($A51,Questions!$A$2:$X$333,15,0)&amp;"")))</f>
      </c>
      <c r="F51" s="200">
        <f>VLOOKUP($A51,'Institution Evaluation'!$A$56:$F$345,6,0)&amp;""</f>
      </c>
      <c r="I51" s="35"/>
      <c r="J51" s="35"/>
    </row>
    <row r="52" spans="1:10" s="1" customFormat="1" ht="49.5" customHeight="1" x14ac:dyDescent="0.15">
      <c r="A52" s="19" t="s">
        <v>628</v>
      </c>
      <c r="B52" s="18">
        <f>VLOOKUP($A52,Questions!$A$2:$X$333,2,0)</f>
      </c>
      <c r="C52" s="21"/>
      <c r="D52" s="314" t="s">
        <v>2026</v>
      </c>
      <c r="E52" s="166">
        <f>IF($C$19='Auto Responses'!$J$4,'Auto Responses'!$A$7,IF($C52='Auto Responses'!$J$3,VLOOKUP($A52,Questions!$A$2:$X$333,17,0)&amp;"",IF($C52='Auto Responses'!$J$4,VLOOKUP($A52,Questions!$A$2:$X$333,16,0)&amp;"",VLOOKUP($A52,Questions!$A$2:$X$333,15,0)&amp;"")))</f>
      </c>
      <c r="F52" s="200">
        <f>VLOOKUP($A52,'Institution Evaluation'!$A$56:$F$345,6,0)&amp;""</f>
      </c>
      <c r="I52" s="35"/>
      <c r="J52" s="35"/>
    </row>
    <row r="53" spans="1:10" s="1" customFormat="1" ht="49.5" customHeight="1" x14ac:dyDescent="0.15">
      <c r="A53" s="19" t="s">
        <v>629</v>
      </c>
      <c r="B53" s="18">
        <f>VLOOKUP($A53,Questions!$A$2:$X$333,2,0)</f>
      </c>
      <c r="C53" s="21"/>
      <c r="D53" s="314" t="s">
        <v>2026</v>
      </c>
      <c r="E53" s="166">
        <f>IF($C$19='Auto Responses'!$J$4,'Auto Responses'!$A$7,IF($C53='Auto Responses'!$J$3,VLOOKUP($A53,Questions!$A$2:$X$333,17,0)&amp;"",IF($C53='Auto Responses'!$J$4,VLOOKUP($A53,Questions!$A$2:$X$333,16,0)&amp;"",VLOOKUP($A53,Questions!$A$2:$X$333,15,0)&amp;"")))</f>
      </c>
      <c r="F53" s="200">
        <f>VLOOKUP($A53,'Institution Evaluation'!$A$56:$F$345,6,0)&amp;""</f>
      </c>
      <c r="I53" s="35"/>
      <c r="J53" s="35"/>
    </row>
    <row r="54" spans="1:10" s="1" customFormat="1" ht="49.5" customHeight="1" x14ac:dyDescent="0.15">
      <c r="A54" s="19" t="s">
        <v>630</v>
      </c>
      <c r="B54" s="18">
        <f>VLOOKUP($A54,Questions!$A$2:$X$333,2,0)</f>
      </c>
      <c r="C54" s="21"/>
      <c r="D54" s="314" t="s">
        <v>2026</v>
      </c>
      <c r="E54" s="166">
        <f>IF($C$19='Auto Responses'!$J$4,'Auto Responses'!$A$7,IF($C54='Auto Responses'!$J$3,VLOOKUP($A54,Questions!$A$2:$X$333,17,0)&amp;"",IF($C54='Auto Responses'!$J$4,VLOOKUP($A54,Questions!$A$2:$X$333,16,0)&amp;"",VLOOKUP($A54,Questions!$A$2:$X$333,15,0)&amp;"")))</f>
      </c>
      <c r="F54" s="200">
        <f>VLOOKUP($A54,'Institution Evaluation'!$A$56:$F$345,6,0)&amp;""</f>
      </c>
      <c r="I54" s="35"/>
      <c r="J54" s="35"/>
    </row>
    <row r="55" spans="1:10" s="1" customFormat="1" ht="49.5" customHeight="1" x14ac:dyDescent="0.15">
      <c r="A55" s="19" t="s">
        <v>632</v>
      </c>
      <c r="B55" s="18">
        <f>VLOOKUP($A55,Questions!$A$2:$X$333,2,0)</f>
      </c>
      <c r="C55" s="21"/>
      <c r="D55" s="314" t="s">
        <v>2026</v>
      </c>
      <c r="E55" s="166">
        <f>IF($C$19='Auto Responses'!$J$4,'Auto Responses'!$A$7,IF($C55='Auto Responses'!$J$3,VLOOKUP($A55,Questions!$A$2:$X$333,17,0)&amp;"",IF($C55='Auto Responses'!$J$4,VLOOKUP($A55,Questions!$A$2:$X$333,16,0)&amp;"",VLOOKUP($A55,Questions!$A$2:$X$333,15,0)&amp;"")))</f>
      </c>
      <c r="F55" s="200">
        <f>VLOOKUP($A55,'Institution Evaluation'!$A$56:$F$345,6,0)&amp;""</f>
      </c>
      <c r="I55" s="35"/>
      <c r="J55" s="35"/>
    </row>
    <row r="56" spans="1:10" s="1" customFormat="1" ht="49.5" customHeight="1" x14ac:dyDescent="0.15">
      <c r="A56" s="19" t="s">
        <v>634</v>
      </c>
      <c r="B56" s="18">
        <f>VLOOKUP($A56,Questions!$A$2:$X$333,2,0)</f>
      </c>
      <c r="C56" s="21"/>
      <c r="D56" s="314" t="s">
        <v>2026</v>
      </c>
      <c r="E56" s="166">
        <f>IF($C$19='Auto Responses'!$J$4,'Auto Responses'!$A$7,IF($C56='Auto Responses'!$J$3,VLOOKUP($A56,Questions!$A$2:$X$333,17,0)&amp;"",IF($C56='Auto Responses'!$J$4,VLOOKUP($A56,Questions!$A$2:$X$333,16,0)&amp;"",VLOOKUP($A56,Questions!$A$2:$X$333,15,0)&amp;"")))</f>
      </c>
      <c r="F56" s="200">
        <f>VLOOKUP($A56,'Institution Evaluation'!$A$56:$F$345,6,0)&amp;""</f>
      </c>
      <c r="I56" s="35"/>
      <c r="J56" s="35"/>
    </row>
    <row r="57" spans="1:10" s="1" customFormat="1" ht="49.5" customHeight="1" x14ac:dyDescent="0.15">
      <c r="A57" s="19" t="s">
        <v>636</v>
      </c>
      <c r="B57" s="18">
        <f>VLOOKUP($A57,Questions!$A$2:$X$333,2,0)</f>
      </c>
      <c r="C57" s="21"/>
      <c r="D57" s="314" t="s">
        <v>2026</v>
      </c>
      <c r="E57" s="166">
        <f>IF($C$19='Auto Responses'!$J$4,'Auto Responses'!$A$7,IF($C57='Auto Responses'!$J$3,VLOOKUP($A57,Questions!$A$2:$X$333,17,0)&amp;"",IF($C57='Auto Responses'!$J$4,VLOOKUP($A57,Questions!$A$2:$X$333,16,0)&amp;"",VLOOKUP($A57,Questions!$A$2:$X$333,15,0)&amp;"")))</f>
      </c>
      <c r="F57" s="200">
        <f>VLOOKUP($A57,'Institution Evaluation'!$A$56:$F$345,6,0)&amp;""</f>
      </c>
      <c r="I57" s="35"/>
      <c r="J57" s="35"/>
    </row>
    <row r="58" spans="1:10" s="1" customFormat="1" ht="49.5" customHeight="1" x14ac:dyDescent="0.15">
      <c r="A58" s="19" t="s">
        <v>638</v>
      </c>
      <c r="B58" s="18">
        <f>VLOOKUP($A58,Questions!$A$2:$X$333,2,0)</f>
      </c>
      <c r="C58" s="21"/>
      <c r="D58" s="314" t="s">
        <v>2026</v>
      </c>
      <c r="E58" s="166">
        <f>IF($C$19='Auto Responses'!$J$4,'Auto Responses'!$A$7,IF($C58='Auto Responses'!$J$3,VLOOKUP($A58,Questions!$A$2:$X$333,17,0)&amp;"",IF($C58='Auto Responses'!$J$4,VLOOKUP($A58,Questions!$A$2:$X$333,16,0)&amp;"",VLOOKUP($A58,Questions!$A$2:$X$333,15,0)&amp;"")))</f>
      </c>
      <c r="F58" s="200">
        <f>VLOOKUP($A58,'Institution Evaluation'!$A$56:$F$345,6,0)&amp;""</f>
      </c>
      <c r="I58" s="35"/>
      <c r="J58" s="35"/>
    </row>
    <row r="59" spans="1:10" s="1" customFormat="1" ht="49.5" customHeight="1" x14ac:dyDescent="0.15">
      <c r="A59" s="19" t="s">
        <v>639</v>
      </c>
      <c r="B59" s="18">
        <f>VLOOKUP($A59,Questions!$A$2:$X$333,2,0)</f>
      </c>
      <c r="C59" s="21"/>
      <c r="D59" s="314" t="s">
        <v>2026</v>
      </c>
      <c r="E59" s="166">
        <f>IF($C$19='Auto Responses'!$J$4,'Auto Responses'!$A$7,IF($C59='Auto Responses'!$J$3,VLOOKUP($A59,Questions!$A$2:$X$333,17,0)&amp;"",IF($C59='Auto Responses'!$J$4,VLOOKUP($A59,Questions!$A$2:$X$333,16,0)&amp;"",VLOOKUP($A59,Questions!$A$2:$X$333,15,0)&amp;"")))</f>
      </c>
      <c r="F59" s="200">
        <f>VLOOKUP($A59,'Institution Evaluation'!$A$56:$F$345,6,0)&amp;""</f>
      </c>
      <c r="I59" s="35"/>
      <c r="J59" s="35"/>
    </row>
    <row r="60" spans="1:10" s="1" customFormat="1" ht="49.5" customHeight="1" x14ac:dyDescent="0.15">
      <c r="A60" s="19" t="s">
        <v>641</v>
      </c>
      <c r="B60" s="18">
        <f>VLOOKUP($A60,Questions!$A$2:$X$333,2,0)</f>
      </c>
      <c r="C60" s="21"/>
      <c r="D60" s="314" t="s">
        <v>2026</v>
      </c>
      <c r="E60" s="166">
        <f>IF($C$19='Auto Responses'!$J$4,'Auto Responses'!$A$7,IF($C60='Auto Responses'!$J$3,VLOOKUP($A60,Questions!$A$2:$X$333,17,0)&amp;"",IF($C60='Auto Responses'!$J$4,VLOOKUP($A60,Questions!$A$2:$X$333,16,0)&amp;"",VLOOKUP($A60,Questions!$A$2:$X$333,15,0)&amp;"")))</f>
      </c>
      <c r="F60" s="200">
        <f>VLOOKUP($A60,'Institution Evaluation'!$A$56:$F$345,6,0)&amp;""</f>
      </c>
      <c r="I60" s="35"/>
      <c r="J60" s="35"/>
    </row>
    <row r="61" spans="1:10" s="1" customFormat="1" ht="49.5" customHeight="1" thickBot="1" x14ac:dyDescent="0.2">
      <c r="A61" s="19" t="s">
        <v>643</v>
      </c>
      <c r="B61" s="18">
        <f>VLOOKUP($A61,Questions!$A$2:$X$333,2,0)</f>
      </c>
      <c r="C61" s="21"/>
      <c r="D61" s="314" t="s">
        <v>2026</v>
      </c>
      <c r="E61" s="166">
        <f>IF($C$19='Auto Responses'!$J$4,'Auto Responses'!$A$7,IF($C61='Auto Responses'!$J$3,VLOOKUP($A61,Questions!$A$2:$X$333,17,0)&amp;"",IF($C61='Auto Responses'!$J$4,VLOOKUP($A61,Questions!$A$2:$X$333,16,0)&amp;"",VLOOKUP($A61,Questions!$A$2:$X$333,15,0)&amp;"")))</f>
      </c>
      <c r="F61" s="200">
        <f>VLOOKUP($A61,'Institution Evaluation'!$A$56:$F$345,6,0)&amp;""</f>
      </c>
      <c r="G61" s="235" t="s">
        <v>1448</v>
      </c>
      <c r="I61" s="35"/>
      <c r="J61" s="35"/>
    </row>
    <row r="62" spans="1:10" s="1" customFormat="1" ht="37.5" customHeight="1" thickBot="1" x14ac:dyDescent="0.2">
      <c r="A62" s="63" t="str">
        <f>VLOOKUP(LEFT($A63,4),'Auto Responses'!$N$4:$O$38,2,0)&amp;""</f>
        <v xml:space="preserve"> Payment Card Industry Data Security Standard (PCI DSS)</v>
      </c>
      <c r="B62" s="22"/>
      <c r="C62" s="13" t="s">
        <v>1495</v>
      </c>
      <c r="D62" s="13" t="s">
        <v>72</v>
      </c>
      <c r="E62" s="31" t="s">
        <v>848</v>
      </c>
      <c r="F62" s="186" t="s">
        <v>849</v>
      </c>
      <c r="I62" s="35"/>
      <c r="J62" s="35"/>
    </row>
    <row r="63" spans="1:10" s="1" customFormat="1" ht="38.25" customHeight="1" x14ac:dyDescent="0.15">
      <c r="A63" s="19" t="s">
        <v>644</v>
      </c>
      <c r="B63" s="18">
        <f>VLOOKUP($A63,Questions!$A$2:$X$333,2,0)</f>
      </c>
      <c r="C63" s="21" t="s">
        <v>148</v>
      </c>
      <c r="D63" s="314" t="s">
        <v>2027</v>
      </c>
      <c r="E63" s="166">
        <f>IF($C$20='Auto Responses'!$J$4,'Auto Responses'!$A$8,IF($C63='Auto Responses'!$J$3,VLOOKUP($A63,Questions!$A$2:$X$333,17,0)&amp;"",IF($C63='Auto Responses'!$J$4,VLOOKUP($A63,Questions!$A$2:$X$333,16,0)&amp;"",VLOOKUP($A63,Questions!$A$2:$X$333,15,0)&amp;"")))</f>
      </c>
      <c r="F63" s="200">
        <f>VLOOKUP($A63,'Institution Evaluation'!$A$56:$F$345,6,0)&amp;""</f>
      </c>
      <c r="I63" s="35"/>
      <c r="J63" s="35"/>
    </row>
    <row r="64" spans="1:10" s="1" customFormat="1" ht="38.25" customHeight="1" x14ac:dyDescent="0.15">
      <c r="A64" s="19" t="s">
        <v>648</v>
      </c>
      <c r="B64" s="18">
        <f>VLOOKUP($A64,Questions!$A$2:$X$333,2,0)</f>
      </c>
      <c r="C64" s="21" t="s">
        <v>148</v>
      </c>
      <c r="D64" s="314"/>
      <c r="E64" s="166" t="str">
        <f>IF($C$20='Auto Responses'!$J$4,'Auto Responses'!$A$8,IF($C64='Auto Responses'!$J$3,VLOOKUP($A64,Questions!$A$2:$X$333,17,0)&amp;"",IF($C64='Auto Responses'!$J$4,VLOOKUP($A64,Questions!$A$2:$X$333,16,0)&amp;"",VLOOKUP($A64,Questions!$A$2:$X$333,15,0)&amp;"")))</f>
      </c>
      <c r="F64" s="200">
        <f>VLOOKUP($A64,'Institution Evaluation'!$A$56:$F$345,6,0)&amp;""</f>
      </c>
      <c r="I64" s="35"/>
      <c r="J64" s="35"/>
    </row>
    <row r="65" spans="1:10" s="1" customFormat="1" ht="38.25" customHeight="1" x14ac:dyDescent="0.15">
      <c r="A65" s="19" t="s">
        <v>650</v>
      </c>
      <c r="B65" s="18">
        <f>VLOOKUP($A65,Questions!$A$2:$X$333,2,0)</f>
      </c>
      <c r="C65" s="21" t="s">
        <v>40</v>
      </c>
      <c r="D65" s="314" t="s">
        <v>2028</v>
      </c>
      <c r="E65" s="166">
        <f>IF($C$20='Auto Responses'!$J$4,'Auto Responses'!$A$8,IF($C65='Auto Responses'!$J$3,VLOOKUP($A65,Questions!$A$2:$X$333,17,0)&amp;"",IF($C65='Auto Responses'!$J$4,VLOOKUP($A65,Questions!$A$2:$X$333,16,0)&amp;"",VLOOKUP($A65,Questions!$A$2:$X$333,15,0)&amp;"")))</f>
      </c>
      <c r="F65" s="200">
        <f>VLOOKUP($A65,'Institution Evaluation'!$A$56:$F$345,6,0)&amp;""</f>
      </c>
      <c r="I65" s="35"/>
      <c r="J65" s="35"/>
    </row>
    <row r="66" spans="1:10" s="1" customFormat="1" ht="38.25" customHeight="1" x14ac:dyDescent="0.15">
      <c r="A66" s="19" t="s">
        <v>651</v>
      </c>
      <c r="B66" s="18">
        <f>VLOOKUP($A66,Questions!$A$2:$X$333,2,0)</f>
      </c>
      <c r="C66" s="21" t="s">
        <v>148</v>
      </c>
      <c r="D66" s="314" t="s">
        <v>2029</v>
      </c>
      <c r="E66" s="166">
        <f>IF($C$20='Auto Responses'!$J$4,'Auto Responses'!$A$8,IF($C66='Auto Responses'!$J$3,VLOOKUP($A66,Questions!$A$2:$X$333,17,0)&amp;"",IF($C66='Auto Responses'!$J$4,VLOOKUP($A66,Questions!$A$2:$X$333,16,0)&amp;"",VLOOKUP($A66,Questions!$A$2:$X$333,15,0)&amp;"")))</f>
      </c>
      <c r="F66" s="200">
        <f>VLOOKUP($A66,'Institution Evaluation'!$A$56:$F$345,6,0)&amp;""</f>
      </c>
      <c r="I66" s="35"/>
      <c r="J66" s="35"/>
    </row>
    <row r="67" spans="1:10" s="1" customFormat="1" ht="38.25" customHeight="1" x14ac:dyDescent="0.15">
      <c r="A67" s="19" t="s">
        <v>653</v>
      </c>
      <c r="B67" s="18">
        <f>VLOOKUP($A67,Questions!$A$2:$X$333,2,0)</f>
      </c>
      <c r="C67" s="21" t="s">
        <v>148</v>
      </c>
      <c r="D67" s="314" t="s">
        <v>2030</v>
      </c>
      <c r="E67" s="166">
        <f>IF($C$20='Auto Responses'!$J$4,'Auto Responses'!$A$8,IF($C67='Auto Responses'!$J$3,VLOOKUP($A67,Questions!$A$2:$X$333,17,0)&amp;"",IF($C67='Auto Responses'!$J$4,VLOOKUP($A67,Questions!$A$2:$X$333,16,0)&amp;"",VLOOKUP($A67,Questions!$A$2:$X$333,15,0)&amp;"")))</f>
      </c>
      <c r="F67" s="200">
        <f>VLOOKUP($A67,'Institution Evaluation'!$A$56:$F$345,6,0)&amp;""</f>
      </c>
      <c r="I67" s="35"/>
      <c r="J67" s="35"/>
    </row>
    <row r="68" spans="1:10" s="1" customFormat="1" ht="38.25" customHeight="1" x14ac:dyDescent="0.15">
      <c r="A68" s="19" t="s">
        <v>654</v>
      </c>
      <c r="B68" s="18">
        <f>VLOOKUP($A68,Questions!$A$2:$X$333,2,0)</f>
      </c>
      <c r="C68" s="21" t="s">
        <v>148</v>
      </c>
      <c r="D68" s="314"/>
      <c r="E68" s="166" t="str">
        <f>IF($C$20='Auto Responses'!$J$4,'Auto Responses'!$A$8,IF($C68='Auto Responses'!$J$3,VLOOKUP($A68,Questions!$A$2:$X$333,17,0)&amp;"",IF($C68='Auto Responses'!$J$4,VLOOKUP($A68,Questions!$A$2:$X$333,16,0)&amp;"",VLOOKUP($A68,Questions!$A$2:$X$333,15,0)&amp;"")))</f>
      </c>
      <c r="F68" s="200">
        <f>VLOOKUP($A68,'Institution Evaluation'!$A$56:$F$345,6,0)&amp;""</f>
      </c>
      <c r="I68" s="35"/>
      <c r="J68" s="35"/>
    </row>
    <row r="69" spans="1:10" s="1" customFormat="1" ht="38.25" customHeight="1" x14ac:dyDescent="0.15">
      <c r="A69" s="19" t="s">
        <v>656</v>
      </c>
      <c r="B69" s="18">
        <f>VLOOKUP($A69,Questions!$A$2:$X$333,2,0)</f>
      </c>
      <c r="C69" s="21" t="s">
        <v>148</v>
      </c>
      <c r="D69" s="314"/>
      <c r="E69" s="166" t="str">
        <f>IF($C$20='Auto Responses'!$J$4,'Auto Responses'!$A$8,IF($C69='Auto Responses'!$J$3,VLOOKUP($A69,Questions!$A$2:$X$333,17,0)&amp;"",IF($C69='Auto Responses'!$J$4,VLOOKUP($A69,Questions!$A$2:$X$333,16,0)&amp;"",VLOOKUP($A69,Questions!$A$2:$X$333,15,0)&amp;"")))</f>
      </c>
      <c r="F69" s="200">
        <f>VLOOKUP($A69,'Institution Evaluation'!$A$56:$F$345,6,0)&amp;""</f>
      </c>
      <c r="I69" s="35"/>
      <c r="J69" s="35"/>
    </row>
    <row r="70" spans="1:10" s="1" customFormat="1" ht="48" customHeight="1" x14ac:dyDescent="0.15">
      <c r="A70" s="19" t="s">
        <v>658</v>
      </c>
      <c r="B70" s="18">
        <f>VLOOKUP($A70,Questions!$A$2:$X$333,2,0)</f>
      </c>
      <c r="C70" s="21" t="s">
        <v>40</v>
      </c>
      <c r="D70" s="314" t="s">
        <v>2031</v>
      </c>
      <c r="E70" s="166">
        <f>IF($C$20='Auto Responses'!$J$4,'Auto Responses'!$A$8,IF($C70='Auto Responses'!$J$3,VLOOKUP($A70,Questions!$A$2:$X$333,17,0)&amp;"",IF($C70='Auto Responses'!$J$4,VLOOKUP($A70,Questions!$A$2:$X$333,16,0)&amp;"",VLOOKUP($A70,Questions!$A$2:$X$333,15,0)&amp;"")))</f>
      </c>
      <c r="F70" s="200">
        <f>VLOOKUP($A70,'Institution Evaluation'!$A$56:$F$345,6,0)&amp;""</f>
      </c>
      <c r="I70" s="35"/>
      <c r="J70" s="35"/>
    </row>
    <row r="71" spans="1:10" s="1" customFormat="1" ht="38.25" customHeight="1" x14ac:dyDescent="0.15">
      <c r="A71" s="19" t="s">
        <v>660</v>
      </c>
      <c r="B71" s="18">
        <f>VLOOKUP($A71,Questions!$A$2:$X$333,2,0)</f>
      </c>
      <c r="C71" s="329" t="s">
        <v>2032</v>
      </c>
      <c r="D71" s="314"/>
      <c r="E71" s="166" t="str">
        <f>IF($C$20='Auto Responses'!$J$4,'Auto Responses'!$A$8,IF($C71='Auto Responses'!$J$3,VLOOKUP($A71,Questions!$A$2:$X$333,17,0)&amp;"",IF($C71='Auto Responses'!$J$4,VLOOKUP($A71,Questions!$A$2:$X$333,16,0)&amp;"",VLOOKUP($A71,Questions!$A$2:$X$333,15,0)&amp;"")))</f>
      </c>
      <c r="F71" s="200">
        <f>VLOOKUP($A71,'Institution Evaluation'!$A$56:$F$345,6,0)&amp;""</f>
      </c>
      <c r="I71" s="35"/>
      <c r="J71" s="35"/>
    </row>
    <row r="72" spans="1:10" s="1" customFormat="1" ht="38.25" customHeight="1" x14ac:dyDescent="0.15">
      <c r="A72" s="19" t="s">
        <v>661</v>
      </c>
      <c r="B72" s="18">
        <f>VLOOKUP($A72,Questions!$A$2:$X$333,2,0)</f>
      </c>
      <c r="C72" s="329" t="s">
        <v>2033</v>
      </c>
      <c r="D72" s="314"/>
      <c r="E72" s="166" t="str">
        <f>IF($C$20='Auto Responses'!$J$4,'Auto Responses'!$A$8,IF($C72='Auto Responses'!$J$3,VLOOKUP($A72,Questions!$A$2:$X$333,17,0)&amp;"",IF($C72='Auto Responses'!$J$4,VLOOKUP($A72,Questions!$A$2:$X$333,16,0)&amp;"",VLOOKUP($A72,Questions!$A$2:$X$333,15,0)&amp;"")))</f>
      </c>
      <c r="F72" s="200">
        <f>VLOOKUP($A72,'Institution Evaluation'!$A$56:$F$345,6,0)&amp;""</f>
      </c>
      <c r="I72" s="35"/>
      <c r="J72" s="35"/>
    </row>
    <row r="73" spans="1:10" s="1" customFormat="1" ht="38.25" customHeight="1" x14ac:dyDescent="0.15">
      <c r="A73" s="19" t="s">
        <v>662</v>
      </c>
      <c r="B73" s="18">
        <f>VLOOKUP($A73,Questions!$A$2:$X$333,2,0)</f>
      </c>
      <c r="C73" s="21"/>
      <c r="D73" s="314" t="s">
        <v>2034</v>
      </c>
      <c r="E73" s="166">
        <f>IF($C$20='Auto Responses'!$J$4,'Auto Responses'!$A$8,IF($C73='Auto Responses'!$J$3,VLOOKUP($A73,Questions!$A$2:$X$333,17,0)&amp;"",IF($C73='Auto Responses'!$J$4,VLOOKUP($A73,Questions!$A$2:$X$333,16,0)&amp;"",VLOOKUP($A73,Questions!$A$2:$X$333,15,0)&amp;"")))</f>
      </c>
      <c r="F73" s="200">
        <f>VLOOKUP($A73,'Institution Evaluation'!$A$56:$F$345,6,0)&amp;""</f>
      </c>
      <c r="I73" s="35"/>
      <c r="J73" s="35"/>
    </row>
    <row r="74" spans="1:10" s="1" customFormat="1" ht="71.25" customHeight="1" thickBot="1" x14ac:dyDescent="0.2">
      <c r="A74" s="19" t="s">
        <v>663</v>
      </c>
      <c r="B74" s="18">
        <f>VLOOKUP($A74,Questions!$A$2:$X$333,2,0)</f>
      </c>
      <c r="C74" s="329" t="s">
        <v>2035</v>
      </c>
      <c r="D74" s="314"/>
      <c r="E74" s="166" t="str">
        <f>IF($C$20='Auto Responses'!$J$4,'Auto Responses'!$A$8,IF($C74='Auto Responses'!$J$3,VLOOKUP($A74,Questions!$A$2:$X$333,17,0)&amp;"",IF($C74='Auto Responses'!$J$4,VLOOKUP($A74,Questions!$A$2:$X$333,16,0)&amp;"",VLOOKUP($A74,Questions!$A$2:$X$333,15,0)&amp;"")))</f>
      </c>
      <c r="F74" s="200">
        <f>VLOOKUP($A74,'Institution Evaluation'!$A$56:$F$345,6,0)&amp;""</f>
      </c>
      <c r="G74" s="235" t="s">
        <v>1448</v>
      </c>
      <c r="I74" s="35"/>
      <c r="J74" s="35"/>
    </row>
    <row r="75" spans="1:10" s="1" customFormat="1" ht="37.5" customHeight="1" thickBot="1" x14ac:dyDescent="0.2">
      <c r="A75" s="63" t="str">
        <f>VLOOKUP(LEFT($A76,4),'Auto Responses'!$N$4:$O$38,2,0)&amp;""</f>
        <v xml:space="preserve"> On-Premises Data Solutions</v>
      </c>
      <c r="B75" s="22"/>
      <c r="C75" s="13" t="s">
        <v>1495</v>
      </c>
      <c r="D75" s="13" t="s">
        <v>72</v>
      </c>
      <c r="E75" s="31" t="s">
        <v>848</v>
      </c>
      <c r="F75" s="186" t="s">
        <v>849</v>
      </c>
      <c r="I75" s="35"/>
      <c r="J75" s="35"/>
    </row>
    <row r="76" spans="1:10" s="1" customFormat="1" ht="36" customHeight="1" x14ac:dyDescent="0.15">
      <c r="A76" s="19" t="s">
        <v>664</v>
      </c>
      <c r="B76" s="18">
        <f>VLOOKUP($A76,Questions!$A$2:$X$333,2,0)</f>
      </c>
      <c r="C76" s="21"/>
      <c r="D76" s="314" t="s">
        <v>2036</v>
      </c>
      <c r="E76" s="166">
        <f>IF($C$21='Auto Responses'!$J$4,'Auto Responses'!$A$9,IF($C76='Auto Responses'!$J$3,VLOOKUP($A76,Questions!$A$2:$X$333,17,0)&amp;"",IF($C76='Auto Responses'!$J$4,VLOOKUP($A76,Questions!$A$2:$X$333,16,0)&amp;"",VLOOKUP($A76,Questions!$A$2:$X$333,15,0)&amp;"")))</f>
      </c>
      <c r="F76" s="200">
        <f>VLOOKUP($A76,'Institution Evaluation'!$A$56:$F$345,6,0)&amp;""</f>
      </c>
      <c r="I76" s="35"/>
      <c r="J76" s="35"/>
    </row>
    <row r="77" spans="1:10" s="1" customFormat="1" ht="28.5" customHeight="1" x14ac:dyDescent="0.15">
      <c r="A77" s="19" t="s">
        <v>666</v>
      </c>
      <c r="B77" s="18">
        <f>VLOOKUP($A77,Questions!$A$2:$X$333,2,0)</f>
      </c>
      <c r="C77" s="21"/>
      <c r="D77" s="314" t="s">
        <v>2036</v>
      </c>
      <c r="E77" s="166">
        <f>IF($C$21='Auto Responses'!$J$4,'Auto Responses'!$A$9,IF($C77='Auto Responses'!$J$3,VLOOKUP($A77,Questions!$A$2:$X$333,17,0)&amp;"",IF($C77='Auto Responses'!$J$4,VLOOKUP($A77,Questions!$A$2:$X$333,16,0)&amp;"",VLOOKUP($A77,Questions!$A$2:$X$333,15,0)&amp;"")))</f>
      </c>
      <c r="F77" s="200">
        <f>VLOOKUP($A77,'Institution Evaluation'!$A$56:$F$345,6,0)&amp;""</f>
      </c>
      <c r="I77" s="35"/>
      <c r="J77" s="35"/>
    </row>
    <row r="78" spans="1:10" s="1" customFormat="1" ht="68.25" customHeight="1" x14ac:dyDescent="0.15">
      <c r="A78" s="19" t="s">
        <v>670</v>
      </c>
      <c r="B78" s="18">
        <f>VLOOKUP($A78,Questions!$A$2:$X$333,2,0)</f>
      </c>
      <c r="C78" s="21"/>
      <c r="D78" s="314" t="s">
        <v>2036</v>
      </c>
      <c r="E78" s="166">
        <f>IF($C$21='Auto Responses'!$J$4,'Auto Responses'!$A$9,IF($C78='Auto Responses'!$J$3,VLOOKUP($A78,Questions!$A$2:$X$333,17,0)&amp;"",IF($C78='Auto Responses'!$J$4,VLOOKUP($A78,Questions!$A$2:$X$333,16,0)&amp;"",VLOOKUP($A78,Questions!$A$2:$X$333,15,0)&amp;"")))</f>
      </c>
      <c r="F78" s="200">
        <f>VLOOKUP($A78,'Institution Evaluation'!$A$56:$F$345,6,0)&amp;""</f>
      </c>
      <c r="I78" s="35"/>
      <c r="J78" s="35"/>
    </row>
    <row r="79" spans="1:10" s="1" customFormat="1" ht="46.5" customHeight="1" x14ac:dyDescent="0.15">
      <c r="A79" s="19" t="s">
        <v>674</v>
      </c>
      <c r="B79" s="18">
        <f>VLOOKUP($A79,Questions!$A$2:$X$333,2,0)</f>
      </c>
      <c r="C79" s="21"/>
      <c r="D79" s="314" t="s">
        <v>2036</v>
      </c>
      <c r="E79" s="166">
        <f>IF($C$21='Auto Responses'!$J$4,'Auto Responses'!$A$9,IF($C79='Auto Responses'!$J$3,VLOOKUP($A79,Questions!$A$2:$X$333,17,0)&amp;"",IF($C79='Auto Responses'!$J$4,VLOOKUP($A79,Questions!$A$2:$X$333,16,0)&amp;"",VLOOKUP($A79,Questions!$A$2:$X$333,15,0)&amp;"")))</f>
      </c>
      <c r="F79" s="200">
        <f>VLOOKUP($A79,'Institution Evaluation'!$A$56:$F$345,6,0)&amp;""</f>
      </c>
      <c r="I79" s="35"/>
      <c r="J79" s="35"/>
    </row>
    <row r="80" spans="1:10" s="1" customFormat="1" ht="60" customHeight="1" x14ac:dyDescent="0.15">
      <c r="A80" s="19" t="s">
        <v>677</v>
      </c>
      <c r="B80" s="18">
        <f>VLOOKUP($A80,Questions!$A$2:$X$333,2,0)</f>
      </c>
      <c r="C80" s="21"/>
      <c r="D80" s="314" t="s">
        <v>2036</v>
      </c>
      <c r="E80" s="166">
        <f>IF($C$21='Auto Responses'!$J$4,'Auto Responses'!$A$9,IF($C80='Auto Responses'!$J$3,VLOOKUP($A80,Questions!$A$2:$X$333,17,0)&amp;"",IF($C80='Auto Responses'!$J$4,VLOOKUP($A80,Questions!$A$2:$X$333,16,0)&amp;"",IF($C80='Auto Responses'!$J$5,VLOOKUP($A80,Questions!$A$2:$X$333,18,0)&amp;"",VLOOKUP($A80,Questions!$A$2:$X$333,15,0)&amp;""))))</f>
      </c>
      <c r="F80" s="200">
        <f>VLOOKUP($A80,'Institution Evaluation'!$A$56:$F$345,6,0)&amp;""</f>
      </c>
      <c r="I80" s="35"/>
      <c r="J80" s="35"/>
    </row>
    <row r="81" spans="1:12" s="1" customFormat="1" ht="47.25" customHeight="1" x14ac:dyDescent="0.15">
      <c r="A81" s="19" t="s">
        <v>681</v>
      </c>
      <c r="B81" s="18">
        <f>VLOOKUP($A81,Questions!$A$2:$X$333,2,0)</f>
      </c>
      <c r="C81" s="21"/>
      <c r="D81" s="314" t="s">
        <v>2036</v>
      </c>
      <c r="E81" s="166">
        <f>IF($C$21='Auto Responses'!$J$4,'Auto Responses'!$A$9,IF($C81='Auto Responses'!$J$3,VLOOKUP($A81,Questions!$A$2:$X$333,17,0)&amp;"",IF($C81='Auto Responses'!$J$4,VLOOKUP($A81,Questions!$A$2:$X$333,16,0)&amp;"",IF($C81='Auto Responses'!$J$5,VLOOKUP($A81,Questions!$A$2:$X$333,18,0)&amp;"",VLOOKUP($A81,Questions!$A$2:$X$333,15,0)&amp;""))))</f>
      </c>
      <c r="F81" s="200">
        <f>VLOOKUP($A81,'Institution Evaluation'!$A$56:$F$345,6,0)&amp;""</f>
      </c>
      <c r="I81" s="35"/>
      <c r="J81" s="35"/>
    </row>
    <row r="82" spans="1:12" s="1" customFormat="1" ht="43.5" customHeight="1" x14ac:dyDescent="0.15">
      <c r="A82" s="19" t="s">
        <v>683</v>
      </c>
      <c r="B82" s="18">
        <f>VLOOKUP($A82,Questions!$A$2:$X$333,2,0)</f>
      </c>
      <c r="C82" s="21"/>
      <c r="D82" s="314" t="s">
        <v>2036</v>
      </c>
      <c r="E82" s="166">
        <f>IF($C$21='Auto Responses'!$J$4,'Auto Responses'!$A$9,IF($C82='Auto Responses'!$J$3,VLOOKUP($A82,Questions!$A$2:$X$333,17,0)&amp;"",IF($C82='Auto Responses'!$J$4,VLOOKUP($A82,Questions!$A$2:$X$333,16,0)&amp;"",VLOOKUP($A82,Questions!$A$2:$X$333,15,0)&amp;"")))</f>
      </c>
      <c r="F82" s="200">
        <f>VLOOKUP($A82,'Institution Evaluation'!$A$56:$F$345,6,0)&amp;""</f>
      </c>
      <c r="I82" s="35"/>
      <c r="J82" s="35"/>
    </row>
    <row r="83" spans="1:12" s="1" customFormat="1" ht="42" customHeight="1" x14ac:dyDescent="0.15">
      <c r="A83" s="19" t="s">
        <v>686</v>
      </c>
      <c r="B83" s="18">
        <f>VLOOKUP($A83,Questions!$A$2:$X$333,2,0)</f>
      </c>
      <c r="C83" s="330" t="s">
        <v>1909</v>
      </c>
      <c r="D83" s="314" t="s">
        <v>2036</v>
      </c>
      <c r="E83" s="166">
        <f>IF($C$21='Auto Responses'!$J$4,'Auto Responses'!$A$9,IF($C83='Auto Responses'!$J$3,VLOOKUP($A83,Questions!$A$2:$X$333,17,0)&amp;"",IF($C83='Auto Responses'!$J$4,VLOOKUP($A83,Questions!$A$2:$X$333,16,0)&amp;"",VLOOKUP($A83,Questions!$A$2:$X$333,15,0)&amp;"")))</f>
      </c>
      <c r="F83" s="200">
        <f>VLOOKUP($A83,'Institution Evaluation'!$A$56:$F$345,6,0)&amp;""</f>
      </c>
      <c r="I83" s="35"/>
      <c r="J83" s="35"/>
    </row>
    <row r="84" spans="1:12" s="1" customFormat="1" ht="54" customHeight="1" x14ac:dyDescent="0.15">
      <c r="A84" s="19" t="s">
        <v>687</v>
      </c>
      <c r="B84" s="18">
        <f>VLOOKUP($A84,Questions!$A$2:$X$333,2,0)</f>
      </c>
      <c r="C84" s="330" t="s">
        <v>1909</v>
      </c>
      <c r="D84" s="314" t="s">
        <v>2036</v>
      </c>
      <c r="E84" s="166">
        <f>IF($C$21='Auto Responses'!$J$4,'Auto Responses'!$A$9,IF($C84='Auto Responses'!$J$3,VLOOKUP($A84,Questions!$A$2:$X$333,17,0)&amp;"",IF($C84='Auto Responses'!$J$4,VLOOKUP($A84,Questions!$A$2:$X$333,16,0)&amp;"",VLOOKUP($A84,Questions!$A$2:$X$333,15,0)&amp;"")))</f>
      </c>
      <c r="F84" s="200">
        <f>VLOOKUP($A84,'Institution Evaluation'!$A$56:$F$345,6,0)&amp;""</f>
      </c>
      <c r="I84" s="35"/>
      <c r="J84" s="35"/>
    </row>
    <row r="85" spans="1:12" s="1" customFormat="1" ht="39.75" customHeight="1" x14ac:dyDescent="0.15">
      <c r="A85" s="19" t="s">
        <v>692</v>
      </c>
      <c r="B85" s="18">
        <f>VLOOKUP($A85,Questions!$A$2:$X$333,2,0)</f>
      </c>
      <c r="C85" s="21"/>
      <c r="D85" s="314" t="s">
        <v>2036</v>
      </c>
      <c r="E85" s="166">
        <f>IF($C$21='Auto Responses'!$J$4,'Auto Responses'!$A$9,IF($C85='Auto Responses'!$J$3,VLOOKUP($A85,Questions!$A$2:$X$333,17,0)&amp;"",IF($C85='Auto Responses'!$J$4,VLOOKUP($A85,Questions!$A$2:$X$333,16,0)&amp;"",VLOOKUP($A85,Questions!$A$2:$X$333,15,0)&amp;"")))</f>
      </c>
      <c r="F85" s="200">
        <f>VLOOKUP($A85,'Institution Evaluation'!$A$56:$F$345,6,0)&amp;""</f>
      </c>
      <c r="G85" s="235" t="s">
        <v>1448</v>
      </c>
      <c r="I85" s="35"/>
      <c r="J85" s="35"/>
    </row>
    <row r="86" spans="1:12" s="1" customFormat="1" ht="36.75" customHeight="1" x14ac:dyDescent="0.15">
      <c r="A86" s="262" t="s">
        <v>1505</v>
      </c>
      <c r="C86" s="8"/>
      <c r="D86" s="9"/>
      <c r="E86" s="10"/>
      <c r="I86" s="35"/>
      <c r="J86" s="35"/>
    </row>
    <row r="87" spans="1:12" ht="15" hidden="1" customHeight="1" x14ac:dyDescent="0.15">
      <c r="A87" s="1"/>
      <c r="B87" s="8"/>
      <c r="C87" s="70"/>
      <c r="D87" s="10"/>
      <c r="E87" s="1"/>
      <c r="H87" s="35"/>
      <c r="I87" s="1"/>
      <c r="J87" s="1"/>
      <c r="L87"/>
    </row>
    <row r="88" spans="1:12" ht="0" hidden="1" customHeight="1" x14ac:dyDescent="0.15">
      <c r="A88" s="19" t="e">
        <f>#REF!</f>
      </c>
    </row>
    <row r="89" spans="1:12" ht="0" hidden="1" customHeight="1" x14ac:dyDescent="0.15">
      <c r="A89" s="19">
        <f>#REF!</f>
      </c>
    </row>
    <row r="90" spans="1:12" ht="0" hidden="1" customHeight="1" x14ac:dyDescent="0.15">
      <c r="A90" s="19">
        <f>#REF!</f>
      </c>
    </row>
    <row r="91" spans="1:12" ht="0" hidden="1" customHeight="1" x14ac:dyDescent="0.15">
      <c r="A91" s="19">
        <f>#REF!</f>
      </c>
    </row>
    <row r="92" spans="1:12" ht="0" hidden="1" customHeight="1" x14ac:dyDescent="0.15">
      <c r="A92" s="19">
        <f>#REF!</f>
      </c>
    </row>
    <row r="93" spans="1:12" ht="0" hidden="1" customHeight="1" x14ac:dyDescent="0.15">
      <c r="A93" s="19">
        <f>#REF!</f>
      </c>
    </row>
    <row r="94" spans="1:12" ht="0" hidden="1" customHeight="1" x14ac:dyDescent="0.15">
      <c r="A94" s="19">
        <f>#REF!</f>
      </c>
    </row>
  </sheetData>
  <autoFilter ref="A1:G86" xr:uid="{F9C89BCC-22A6-402F-9D9B-7BE4A2C8BA87}"/>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For full instructions, please visit the HECVAT website."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10" zoomScale="80" zoomScaleNormal="80" workbookViewId="0">
      <selection activeCell="C26" sqref="C26"/>
    </sheetView>
  </sheetViews>
  <sheetFormatPr baseColWidth="10" defaultColWidth="0" defaultRowHeight="0" customHeight="1" zeroHeight="1" x14ac:dyDescent="0.15"/>
  <cols>
    <col min="1" max="1" width="8.25" customWidth="1"/>
    <col min="2" max="2" width="55.125" style="1" customWidth="1"/>
    <col min="3" max="3" width="20.5" style="8" bestFit="1" customWidth="1"/>
    <col min="4" max="4" width="55.625" style="9" customWidth="1"/>
    <col min="5" max="5" width="32" style="10" customWidth="1"/>
    <col min="6" max="6" width="30.625" style="197" customWidth="1"/>
    <col min="7" max="7" width="18.125" style="1" customWidth="1"/>
    <col min="8" max="8" width="18.125" style="1" hidden="1" customWidth="1"/>
    <col min="9" max="10" width="18.125" style="35" hidden="1" customWidth="1"/>
    <col min="11" max="11" width="4.5" style="1" hidden="1" customWidth="1"/>
    <col min="12" max="12" width="6.625" style="1" hidden="1" customWidth="1"/>
    <col min="13" max="16384" width="6.625" hidden="1"/>
  </cols>
  <sheetData>
    <row r="1" spans="1:10" ht="0" hidden="1" customHeight="1" x14ac:dyDescent="0.15">
      <c r="A1" t="s">
        <v>1447</v>
      </c>
    </row>
    <row r="2" spans="1:10" ht="36" customHeight="1" x14ac:dyDescent="0.15">
      <c r="A2" s="167" t="s">
        <v>1379</v>
      </c>
      <c r="B2" s="167"/>
      <c r="C2" s="168"/>
      <c r="D2" s="302"/>
      <c r="E2" s="169"/>
      <c r="F2" s="196" t="str">
        <f>'Auto Responses'!$A$36</f>
      </c>
      <c r="J2" s="1"/>
    </row>
    <row r="3" spans="1:10" s="1" customFormat="1" ht="29.25" customHeight="1" x14ac:dyDescent="0.15">
      <c r="A3" s="37" t="s">
        <v>940</v>
      </c>
      <c r="B3" s="38"/>
      <c r="C3" s="66">
        <f>'START HERE'!$C$3</f>
      </c>
      <c r="D3" s="303"/>
      <c r="E3" s="36"/>
      <c r="F3" s="50"/>
      <c r="I3" s="35"/>
    </row>
    <row r="4" spans="1:10" s="1" customFormat="1" ht="36" customHeight="1" x14ac:dyDescent="0.15">
      <c r="A4" s="11" t="s">
        <v>865</v>
      </c>
      <c r="B4" s="12"/>
      <c r="C4" s="13"/>
      <c r="D4" s="14"/>
      <c r="E4" s="15"/>
      <c r="F4" s="15"/>
      <c r="I4" s="35"/>
    </row>
    <row r="5" spans="1:10" s="1" customFormat="1" ht="19.5" customHeight="1" x14ac:dyDescent="0.15">
      <c r="A5" s="42" t="str">
        <f>HLOOKUP($A$4,'Auto Responses'!$D$2:$D$8,2,0)&amp;""</f>
      </c>
      <c r="B5" s="16"/>
      <c r="C5" s="67"/>
      <c r="D5" s="304"/>
      <c r="E5" s="16"/>
      <c r="F5" s="256"/>
      <c r="I5" s="35"/>
    </row>
    <row r="6" spans="1:10" s="1" customFormat="1" ht="19.5" customHeight="1" x14ac:dyDescent="0.15">
      <c r="A6" s="42" t="str">
        <f>HLOOKUP($A$4,'Auto Responses'!$D$2:$D$8,3,0)&amp;""</f>
      </c>
      <c r="B6" s="16"/>
      <c r="C6" s="67"/>
      <c r="D6" s="304"/>
      <c r="E6" s="16"/>
      <c r="F6" s="257"/>
      <c r="I6" s="35"/>
    </row>
    <row r="7" spans="1:10"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15">
      <c r="A8" s="42" t="str">
        <f>HLOOKUP($A$4,'Auto Responses'!$D$2:$D$8,5,0)&amp;""</f>
      </c>
      <c r="B8" s="16"/>
      <c r="C8" s="67"/>
      <c r="D8" s="304"/>
      <c r="E8" s="16"/>
      <c r="F8" s="257"/>
      <c r="I8" s="35"/>
    </row>
    <row r="9" spans="1:10" s="1" customFormat="1" ht="19.5" customHeight="1" x14ac:dyDescent="0.15">
      <c r="A9" s="42" t="str">
        <f>HLOOKUP($A$4,'Auto Responses'!$D$2:$D$8,6,0)&amp;""</f>
      </c>
      <c r="B9" s="16"/>
      <c r="C9" s="67"/>
      <c r="D9" s="304"/>
      <c r="E9" s="16"/>
      <c r="F9" s="257"/>
      <c r="I9" s="35"/>
    </row>
    <row r="10" spans="1:10" s="1" customFormat="1" ht="19.5" customHeight="1" x14ac:dyDescent="0.15">
      <c r="A10" s="243" t="str">
        <f>HLOOKUP($A$4,'Auto Responses'!$D$2:$D$8,7,0)&amp;""</f>
      </c>
      <c r="B10" s="16"/>
      <c r="C10" s="67"/>
      <c r="D10" s="304"/>
      <c r="E10" s="16"/>
      <c r="F10" s="257"/>
      <c r="I10" s="35"/>
    </row>
    <row r="11" spans="1:10" s="1" customFormat="1" ht="19.5" customHeight="1" x14ac:dyDescent="0.15">
      <c r="A11" s="360" t="str">
        <f>HLOOKUP($A$4,'Auto Responses'!$D$2:$D$9,8,0)&amp;""</f>
      </c>
      <c r="B11" s="16"/>
      <c r="C11" s="67"/>
      <c r="D11" s="304"/>
      <c r="E11" s="16"/>
      <c r="F11" s="258"/>
      <c r="I11" s="35"/>
    </row>
    <row r="12" spans="1:10" s="1" customFormat="1" ht="36" customHeight="1" x14ac:dyDescent="0.15">
      <c r="A12" s="63" t="str">
        <f>VLOOKUP(LEFT($A13,4),'Auto Responses'!$N$4:$O$38,2,0)&amp;""</f>
        <v xml:space="preserve"> General Information</v>
      </c>
      <c r="B12" s="12"/>
      <c r="C12" s="13" t="s">
        <v>1495</v>
      </c>
      <c r="D12" s="305"/>
      <c r="E12" s="17"/>
      <c r="F12" s="17"/>
      <c r="I12" s="35"/>
      <c r="J12" s="35"/>
    </row>
    <row r="13" spans="1:10" s="1" customFormat="1" ht="22.5" customHeight="1" x14ac:dyDescent="0.15">
      <c r="A13" s="19" t="s">
        <v>21</v>
      </c>
      <c r="B13" s="20">
        <f>VLOOKUP($A13,Questions!$A$2:$X$333,2,0)&amp;""</f>
      </c>
      <c r="C13" s="75">
        <f>VLOOKUP($A13,'START HERE'!$A$13:$C$21,3,0)&amp;""</f>
      </c>
      <c r="D13" s="32"/>
      <c r="E13" s="32"/>
      <c r="F13" s="50"/>
      <c r="I13" s="35"/>
      <c r="J13" s="35"/>
    </row>
    <row r="14" spans="1:10" s="1" customFormat="1" ht="22.5" customHeight="1" x14ac:dyDescent="0.15">
      <c r="A14" s="19" t="s">
        <v>24</v>
      </c>
      <c r="B14" s="20">
        <f>VLOOKUP($A14,Questions!$A$2:$X$333,2,0)&amp;""</f>
      </c>
      <c r="C14" s="75">
        <f>VLOOKUP($A14,'START HERE'!$A$13:$C$21,3,0)&amp;""</f>
      </c>
      <c r="D14" s="32"/>
      <c r="E14" s="32"/>
      <c r="F14" s="50"/>
      <c r="I14" s="35"/>
      <c r="J14" s="35"/>
    </row>
    <row r="15" spans="1:10" s="1" customFormat="1" ht="22.5" customHeight="1" x14ac:dyDescent="0.15">
      <c r="A15" s="19" t="s">
        <v>25</v>
      </c>
      <c r="B15" s="20">
        <f>VLOOKUP($A15,Questions!$A$2:$X$333,2,0)&amp;""</f>
      </c>
      <c r="C15" s="75">
        <f>VLOOKUP($A15,'START HERE'!$A$13:$C$21,3,0)&amp;""</f>
      </c>
      <c r="D15" s="32"/>
      <c r="E15" s="32"/>
      <c r="F15" s="50"/>
      <c r="I15" s="35"/>
      <c r="J15" s="35"/>
    </row>
    <row r="16" spans="1:10" s="1" customFormat="1" ht="22.5" customHeight="1" thickBot="1" x14ac:dyDescent="0.2">
      <c r="A16" s="19" t="s">
        <v>30</v>
      </c>
      <c r="B16" s="20">
        <f>VLOOKUP($A16,Questions!$A$2:$X$333,2,0)&amp;""</f>
      </c>
      <c r="C16" s="75">
        <f>VLOOKUP($A16,'START HERE'!$A$13:$C$21,3,0)&amp;""</f>
      </c>
      <c r="D16" s="32"/>
      <c r="E16" s="32"/>
      <c r="F16" s="50"/>
      <c r="I16" s="35"/>
      <c r="J16" s="35"/>
    </row>
    <row r="17" spans="1:10" s="1" customFormat="1" ht="37.5" customHeight="1" thickBot="1" x14ac:dyDescent="0.2">
      <c r="A17" s="63" t="str">
        <f>VLOOKUP(LEFT($A18,4),'Auto Responses'!$N$4:$O$38,2,0)&amp;""</f>
        <v xml:space="preserve"> Required Questions</v>
      </c>
      <c r="B17" s="22"/>
      <c r="C17" s="13" t="s">
        <v>1495</v>
      </c>
      <c r="D17" s="13" t="s">
        <v>72</v>
      </c>
      <c r="E17" s="31" t="s">
        <v>848</v>
      </c>
      <c r="F17" s="201" t="s">
        <v>849</v>
      </c>
      <c r="I17" s="35"/>
      <c r="J17" s="35"/>
    </row>
    <row r="18" spans="1:10" s="1" customFormat="1" ht="38.25" customHeight="1" thickBot="1" x14ac:dyDescent="0.2">
      <c r="A18" s="19" t="s">
        <v>58</v>
      </c>
      <c r="B18" s="18">
        <f>VLOOKUP($A18,Questions!$A$2:$X$333,2,0)</f>
      </c>
      <c r="C18" s="71">
        <f>VLOOKUP($A18,'START HERE'!$A$23:$F$36,3,0)&amp;""</f>
      </c>
      <c r="D18" s="306">
        <f>VLOOKUP($A18,'START HERE'!$A$23:$F$36,4,0)&amp;""</f>
      </c>
      <c r="E18" s="166">
        <f>IF($C18='Auto Responses'!$J$3,VLOOKUP($A18,Questions!$A$2:$X$333,17,0)&amp;"",IF($C18='Auto Responses'!$J$4,VLOOKUP($A18,Questions!$A$2:$X$333,16,0)&amp;"",VLOOKUP($A18,Questions!$A$2:$X$333,15,0)&amp;""))</f>
      </c>
      <c r="F18" s="200">
        <f>VLOOKUP($A18,'Institution Evaluation'!$A$56:$F$345,6,0)&amp;""</f>
      </c>
      <c r="G18" s="235" t="s">
        <v>1448</v>
      </c>
      <c r="I18" s="35"/>
      <c r="J18" s="35"/>
    </row>
    <row r="19" spans="1:10" s="1" customFormat="1" ht="37.5" customHeight="1" thickBot="1" x14ac:dyDescent="0.2">
      <c r="A19" s="63" t="str">
        <f>VLOOKUP(LEFT($A20,4),'Auto Responses'!$N$4:$O$38,2,0)&amp;""</f>
        <v xml:space="preserve"> AI Qualifying Questions</v>
      </c>
      <c r="B19" s="22"/>
      <c r="C19" s="13" t="s">
        <v>1495</v>
      </c>
      <c r="D19" s="13" t="s">
        <v>72</v>
      </c>
      <c r="E19" s="31" t="s">
        <v>848</v>
      </c>
      <c r="F19" s="201" t="s">
        <v>849</v>
      </c>
      <c r="I19" s="35"/>
      <c r="J19" s="35"/>
    </row>
    <row r="20" spans="1:10" s="1" customFormat="1" ht="84.75" customHeight="1" x14ac:dyDescent="0.15">
      <c r="A20" s="19" t="s">
        <v>782</v>
      </c>
      <c r="B20" s="18">
        <f>VLOOKUP($A20,Questions!$A$2:$X$333,2,0)</f>
      </c>
      <c r="C20" s="21" t="s">
        <v>148</v>
      </c>
      <c r="D20" s="307" t="s">
        <v>2037</v>
      </c>
      <c r="E20" s="166">
        <f>IF($C$18='Auto Responses'!$J$4,'Auto Responses'!$A$6,IF($C20='Auto Responses'!$J$3,VLOOKUP($A20,Questions!$A$2:$X$333,17,0)&amp;"",IF($C20='Auto Responses'!$J$4,VLOOKUP($A20,Questions!$A$2:$X$333,16,0)&amp;"",VLOOKUP($A20,Questions!$A$2:$X$333,15,0)&amp;"")))</f>
      </c>
      <c r="F20" s="200">
        <f>VLOOKUP($A20,'Institution Evaluation'!$A$56:$F$345,6,0)&amp;""</f>
      </c>
      <c r="I20" s="35"/>
      <c r="J20" s="35"/>
    </row>
    <row r="21" spans="1:10" s="1" customFormat="1" ht="78.75" customHeight="1" thickBot="1" x14ac:dyDescent="0.2">
      <c r="A21" s="19" t="s">
        <v>783</v>
      </c>
      <c r="B21" s="18">
        <f>VLOOKUP($A21,Questions!$A$2:$X$333,2,0)</f>
      </c>
      <c r="C21" s="21" t="s">
        <v>40</v>
      </c>
      <c r="D21" s="307" t="s">
        <v>2038</v>
      </c>
      <c r="E21" s="166">
        <f>IF($C$18='Auto Responses'!$J$4,'Auto Responses'!$A$6,IF($C21='Auto Responses'!$J$3,VLOOKUP($A21,Questions!$A$2:$X$333,17,0)&amp;"",IF($C21='Auto Responses'!$J$4,VLOOKUP($A21,Questions!$A$2:$X$333,16,0)&amp;"",VLOOKUP($A21,Questions!$A$2:$X$333,15,0)&amp;"")))</f>
      </c>
      <c r="F21" s="200">
        <f>VLOOKUP($A21,'Institution Evaluation'!$A$56:$F$345,6,0)&amp;""</f>
      </c>
      <c r="G21" s="235" t="s">
        <v>1448</v>
      </c>
      <c r="I21" s="35"/>
      <c r="J21" s="35"/>
    </row>
    <row r="22" spans="1:10" s="1" customFormat="1" ht="37.5" customHeight="1" thickBot="1" x14ac:dyDescent="0.2">
      <c r="A22" s="63" t="str">
        <f>VLOOKUP(LEFT($A23,4),'Auto Responses'!$N$4:$O$38,2,0)&amp;""</f>
        <v xml:space="preserve"> General AI Questions</v>
      </c>
      <c r="B22" s="22"/>
      <c r="C22" s="13" t="s">
        <v>1495</v>
      </c>
      <c r="D22" s="13" t="s">
        <v>72</v>
      </c>
      <c r="E22" s="31" t="s">
        <v>848</v>
      </c>
      <c r="F22" s="201" t="s">
        <v>849</v>
      </c>
      <c r="I22" s="35"/>
      <c r="J22" s="35"/>
    </row>
    <row r="23" spans="1:10" s="1" customFormat="1" ht="48" customHeight="1" x14ac:dyDescent="0.15">
      <c r="A23" s="19" t="s">
        <v>784</v>
      </c>
      <c r="B23" s="18">
        <f>VLOOKUP($A23,Questions!$A$2:$X$333,2,0)</f>
      </c>
      <c r="C23" s="21" t="inlineStr">
        <is>
          <t xml:space="preserve">Yes</t>
        </is>
      </c>
      <c r="D23" s="307" t="inlineStr">
        <is>
          <t xml:space="preserve">AI Risk Assessment structured on the NIST AI RMF (Govern, Map, Measure, Manage) with a risk register and treatment plan, reviewed annually and before new AI features.</t>
        </is>
      </c>
      <c r="E23" s="166">
        <f>IF($C$18='Auto Responses'!$J$4,'Auto Responses'!$A$6,IF($C23='Auto Responses'!$J$3,VLOOKUP($A23,Questions!$A$2:$X$333,17,0)&amp;"",IF($C23='Auto Responses'!$J$4,VLOOKUP($A23,Questions!$A$2:$X$333,16,0)&amp;"",VLOOKUP($A23,Questions!$A$2:$X$333,15,0)&amp;"")))</f>
      </c>
      <c r="F23" s="200">
        <f>VLOOKUP($A23,'Institution Evaluation'!$A$56:$F$345,6,0)&amp;""</f>
      </c>
      <c r="I23" s="35"/>
      <c r="J23" s="35"/>
    </row>
    <row r="24" spans="1:10" s="1" customFormat="1" ht="38.25" customHeight="1" x14ac:dyDescent="0.15">
      <c r="A24" s="19" t="s">
        <v>785</v>
      </c>
      <c r="B24" s="18">
        <f>VLOOKUP($A24,Questions!$A$2:$X$333,2,0)</f>
      </c>
      <c r="C24" s="21" t="s">
        <v>148</v>
      </c>
      <c r="D24" s="307" t="s">
        <v>2080</v>
      </c>
      <c r="E24" s="166">
        <f>IF($C$18='Auto Responses'!$J$4,'Auto Responses'!$A$6,IF($C24='Auto Responses'!$J$3,VLOOKUP($A24,Questions!$A$2:$X$333,17,0)&amp;"",IF($C24='Auto Responses'!$J$4,VLOOKUP($A24,Questions!$A$2:$X$333,16,0)&amp;"",IF($C24='Auto Responses'!$J$5,VLOOKUP($A24,Questions!$A$2:$X$333,18,0)&amp;"",VLOOKUP($A24,Questions!$A$2:$X$333,15,0)&amp;""))))</f>
      </c>
      <c r="F24" s="200">
        <f>VLOOKUP($A24,'Institution Evaluation'!$A$56:$F$345,6,0)&amp;""</f>
      </c>
      <c r="I24" s="35"/>
      <c r="J24" s="35"/>
    </row>
    <row r="25" spans="1:10" s="1" customFormat="1" ht="46.5" customHeight="1" x14ac:dyDescent="0.15">
      <c r="A25" s="19" t="s">
        <v>786</v>
      </c>
      <c r="B25" s="18">
        <f>VLOOKUP($A25,Questions!$A$2:$X$333,2,0)</f>
      </c>
      <c r="C25" s="21" t="inlineStr">
        <is>
          <t xml:space="preserve">No</t>
        </is>
      </c>
      <c r="D25" s="307" t="inlineStr">
        <is>
          <t xml:space="preserve">Responsible AI training is required annually for all team members under Edugator's AI Risk Assessment and Privacy Program; the first completion is in progress.</t>
        </is>
      </c>
      <c r="E25" s="166">
        <f>IF($C$18='Auto Responses'!$J$4,'Auto Responses'!$A$6,IF($C25='Auto Responses'!$J$3,VLOOKUP($A25,Questions!$A$2:$X$333,17,0)&amp;"",IF($C25='Auto Responses'!$J$4,VLOOKUP($A25,Questions!$A$2:$X$333,16,0)&amp;"",VLOOKUP($A25,Questions!$A$2:$X$333,15,0)&amp;"")))</f>
      </c>
      <c r="F25" s="200">
        <f>VLOOKUP($A25,'Institution Evaluation'!$A$56:$F$345,6,0)&amp;""</f>
      </c>
      <c r="I25" s="35"/>
      <c r="J25" s="35"/>
    </row>
    <row r="26" spans="1:10" s="1" customFormat="1" ht="314" x14ac:dyDescent="0.15">
      <c r="A26" s="19" t="s">
        <v>787</v>
      </c>
      <c r="B26" s="18">
        <f>VLOOKUP($A26,Questions!$A$2:$X$333,2,0)</f>
      </c>
      <c r="C26" s="358" t="s">
        <v>2039</v>
      </c>
      <c r="D26" s="314"/>
      <c r="E26" s="166" t="str">
        <f>IF($C$18='Auto Responses'!$J$4,'Auto Responses'!$A$6,IF($C26='Auto Responses'!$J$3,VLOOKUP($A26,Questions!$A$2:$X$333,17,0)&amp;"",IF($C26='Auto Responses'!$J$4,VLOOKUP($A26,Questions!$A$2:$X$333,16,0)&amp;"",VLOOKUP($A26,Questions!$A$2:$X$333,15,0)&amp;"")))</f>
      </c>
      <c r="F26" s="200">
        <f>VLOOKUP($A26,'Institution Evaluation'!$A$56:$F$345,6,0)&amp;""</f>
      </c>
      <c r="I26" s="35"/>
      <c r="J26" s="35"/>
    </row>
    <row r="27" spans="1:10" s="1" customFormat="1" ht="74.25" customHeight="1" thickBot="1" x14ac:dyDescent="0.2">
      <c r="A27" s="19" t="s">
        <v>788</v>
      </c>
      <c r="B27" s="18">
        <f>VLOOKUP($A27,Questions!$A$2:$X$333,2,0)</f>
      </c>
      <c r="C27" s="21" t="s">
        <v>148</v>
      </c>
      <c r="D27" s="307"/>
      <c r="E27" s="166" t="str">
        <f>IF($C$18='Auto Responses'!$J$4,'Auto Responses'!$A$6,IF($C27='Auto Responses'!$J$3,VLOOKUP($A27,Questions!$A$2:$X$333,17,0)&amp;"",IF($C27='Auto Responses'!$J$4,VLOOKUP($A27,Questions!$A$2:$X$333,16,0)&amp;"",VLOOKUP($A27,Questions!$A$2:$X$333,15,0)&amp;"")))</f>
      </c>
      <c r="F27" s="200">
        <f>VLOOKUP($A27,'Institution Evaluation'!$A$56:$F$345,6,0)&amp;""</f>
      </c>
      <c r="G27" s="235" t="s">
        <v>1448</v>
      </c>
      <c r="I27" s="35"/>
      <c r="J27" s="35"/>
    </row>
    <row r="28" spans="1:10" s="1" customFormat="1" ht="37.5" customHeight="1" thickBot="1" x14ac:dyDescent="0.2">
      <c r="A28" s="63" t="str">
        <f>VLOOKUP(LEFT($A29,4),'Auto Responses'!$N$4:$O$38,2,0)&amp;""</f>
        <v xml:space="preserve"> AI Policy</v>
      </c>
      <c r="B28" s="22"/>
      <c r="C28" s="13" t="s">
        <v>1495</v>
      </c>
      <c r="D28" s="13" t="s">
        <v>72</v>
      </c>
      <c r="E28" s="31" t="s">
        <v>848</v>
      </c>
      <c r="F28" s="201" t="s">
        <v>849</v>
      </c>
      <c r="I28" s="35"/>
      <c r="J28" s="35"/>
    </row>
    <row r="29" spans="1:10" s="1" customFormat="1" ht="69" customHeight="1" x14ac:dyDescent="0.15">
      <c r="A29" s="19" t="s">
        <v>789</v>
      </c>
      <c r="B29" s="18">
        <f>VLOOKUP($A29,Questions!$A$2:$X$333,2,0)</f>
      </c>
      <c r="C29" s="21" t="inlineStr">
        <is>
          <t xml:space="preserve">Yes</t>
        </is>
      </c>
      <c r="D29" s="307" t="inlineStr">
        <is>
          <t xml:space="preserve">AI risk practices are documented in the AI Risk Assessment and owned by the Founder; AI changes go through privacy and ethics review.</t>
        </is>
      </c>
      <c r="E29" s="166">
        <f>IF($C$18='Auto Responses'!$J$4,'Auto Responses'!$A$6,IF($C29='Auto Responses'!$J$3,VLOOKUP($A29,Questions!$A$2:$X$333,17,0)&amp;"",IF($C29='Auto Responses'!$J$4,VLOOKUP($A29,Questions!$A$2:$X$333,16,0)&amp;"",VLOOKUP($A29,Questions!$A$2:$X$333,15,0)&amp;"")))</f>
      </c>
      <c r="F29" s="200">
        <f>VLOOKUP($A29,'Institution Evaluation'!$A$56:$F$345,6,0)&amp;""</f>
      </c>
      <c r="I29" s="35"/>
      <c r="J29" s="35"/>
    </row>
    <row r="30" spans="1:10" s="1" customFormat="1" ht="61.5" customHeight="1" x14ac:dyDescent="0.15">
      <c r="A30" s="19" t="s">
        <v>790</v>
      </c>
      <c r="B30" s="18">
        <f>VLOOKUP($A30,Questions!$A$2:$X$333,2,0)</f>
      </c>
      <c r="C30" s="21" t="inlineStr">
        <is>
          <t xml:space="preserve">Yes</t>
        </is>
      </c>
      <c r="D30" s="307" t="inlineStr">
        <is>
          <t xml:space="preserve">Risks are identified and rated by likelihood and impact (academic integrity, prompt injection/misuse, incorrect output, privacy, bias, over-reliance, supply chain, auditability) and usage metrics are reviewed quarterly.</t>
        </is>
      </c>
      <c r="E30" s="166">
        <f>IF($C$18='Auto Responses'!$J$4,'Auto Responses'!$A$6,IF($C30='Auto Responses'!$J$3,VLOOKUP($A30,Questions!$A$2:$X$333,17,0)&amp;"",IF($C30='Auto Responses'!$J$4,VLOOKUP($A30,Questions!$A$2:$X$333,16,0)&amp;"",VLOOKUP($A30,Questions!$A$2:$X$333,15,0)&amp;"")))</f>
      </c>
      <c r="F30" s="200">
        <f>VLOOKUP($A30,'Institution Evaluation'!$A$56:$F$345,6,0)&amp;""</f>
      </c>
      <c r="I30" s="35"/>
      <c r="J30" s="35"/>
    </row>
    <row r="31" spans="1:10" s="1" customFormat="1" ht="111" customHeight="1" x14ac:dyDescent="0.15">
      <c r="A31" s="19" t="s">
        <v>791</v>
      </c>
      <c r="B31" s="18">
        <f>VLOOKUP($A31,Questions!$A$2:$X$333,2,0)</f>
      </c>
      <c r="C31" s="21" t="s">
        <v>40</v>
      </c>
      <c r="D31" s="307" t="s">
        <v>2081</v>
      </c>
      <c r="E31" s="166">
        <f>IF($C$18='Auto Responses'!$J$4,'Auto Responses'!$A$6,IF($C31='Auto Responses'!$J$3,VLOOKUP($A31,Questions!$A$2:$X$333,17,0)&amp;"",IF($C31='Auto Responses'!$J$4,VLOOKUP($A31,Questions!$A$2:$X$333,16,0)&amp;"",VLOOKUP($A31,Questions!$A$2:$X$333,15,0)&amp;"")))</f>
      </c>
      <c r="F31" s="200">
        <f>VLOOKUP($A31,'Institution Evaluation'!$A$56:$F$345,6,0)&amp;""</f>
      </c>
      <c r="I31" s="35"/>
      <c r="J31" s="35"/>
    </row>
    <row r="32" spans="1:10" s="1" customFormat="1" ht="99.75" customHeight="1" x14ac:dyDescent="0.15">
      <c r="A32" s="19" t="s">
        <v>792</v>
      </c>
      <c r="B32" s="18">
        <f>VLOOKUP($A32,Questions!$A$2:$X$333,2,0)</f>
      </c>
      <c r="C32" s="21" t="s">
        <v>40</v>
      </c>
      <c r="D32" s="307"/>
      <c r="E32" s="166" t="str">
        <f>IF($C$18='Auto Responses'!$J$4,'Auto Responses'!$A$6,IF($C$31='Auto Responses'!$J$4,'Auto Responses'!$A$27,IF($C32='Auto Responses'!$J$3,VLOOKUP($A32,Questions!$A$2:$X$333,17,0)&amp;"",IF($C32='Auto Responses'!$J$4,VLOOKUP($A32,Questions!$A$2:$X$333,16,0)&amp;"",IF($C32='Auto Responses'!$J$5,VLOOKUP($A32,Questions!$A$2:$X$333,18,0)&amp;"",VLOOKUP($A32,Questions!$A$2:$X$333,15,0)&amp;"")))))</f>
      </c>
      <c r="F32" s="200">
        <f>VLOOKUP($A32,'Institution Evaluation'!$A$56:$F$345,6,0)&amp;""</f>
      </c>
      <c r="I32" s="35"/>
      <c r="J32" s="35"/>
    </row>
    <row r="33" spans="1:10" s="1" customFormat="1" ht="105" customHeight="1" thickBot="1" x14ac:dyDescent="0.2">
      <c r="A33" s="19" t="s">
        <v>793</v>
      </c>
      <c r="B33" s="18">
        <f>VLOOKUP($A33,Questions!$A$2:$X$333,2,0)</f>
      </c>
      <c r="C33" s="21" t="inlineStr">
        <is>
          <t xml:space="preserve">Yes</t>
        </is>
      </c>
      <c r="D33" s="307" t="inlineStr">
        <is>
          <t xml:space="preserve">The AI Risk Assessment treatment plan maps each identified risk to technical and procedural mitigations, following the NIST AI RMF.</t>
        </is>
      </c>
      <c r="E33" s="166">
        <f>IF($C$18='Auto Responses'!$J$4,'Auto Responses'!$A$6,IF($C33='Auto Responses'!$J$3,VLOOKUP($A33,Questions!$A$2:$X$333,17,0)&amp;"",IF($C33='Auto Responses'!$J$4,VLOOKUP($A33,Questions!$A$2:$X$333,16,0)&amp;"",VLOOKUP($A33,Questions!$A$2:$X$333,15,0)&amp;"")))</f>
      </c>
      <c r="F33" s="200">
        <f>VLOOKUP($A33,'Institution Evaluation'!$A$56:$F$345,6,0)&amp;""</f>
      </c>
      <c r="G33" s="235" t="s">
        <v>1448</v>
      </c>
      <c r="I33" s="35"/>
      <c r="J33" s="35"/>
    </row>
    <row r="34" spans="1:10" s="1" customFormat="1" ht="37.5" customHeight="1" thickBot="1" x14ac:dyDescent="0.2">
      <c r="A34" s="63" t="str">
        <f>VLOOKUP(LEFT($A35,4),'Auto Responses'!$N$4:$O$38,2,0)&amp;""</f>
        <v xml:space="preserve"> AI Data Security</v>
      </c>
      <c r="B34" s="22"/>
      <c r="C34" s="13" t="s">
        <v>1495</v>
      </c>
      <c r="D34" s="13" t="s">
        <v>72</v>
      </c>
      <c r="E34" s="31" t="s">
        <v>848</v>
      </c>
      <c r="F34" s="201" t="s">
        <v>849</v>
      </c>
      <c r="I34" s="35"/>
      <c r="J34" s="35"/>
    </row>
    <row r="35" spans="1:10" s="1" customFormat="1" ht="157.5" customHeight="1" x14ac:dyDescent="0.15">
      <c r="A35" s="19" t="s">
        <v>794</v>
      </c>
      <c r="B35" s="18">
        <f>VLOOKUP($A35,Questions!$A$2:$X$333,2,0)</f>
      </c>
      <c r="C35" s="21" t="s">
        <v>1525</v>
      </c>
      <c r="D35" s="307" t="s">
        <v>2041</v>
      </c>
      <c r="E35" s="166">
        <f>IF($C$18='Auto Responses'!$J$4,'Auto Responses'!$A$6,IF($C$31='Auto Responses'!$J$4,'Auto Responses'!$A$27,IF($C35='Auto Responses'!$J$3,VLOOKUP($A35,Questions!$A$2:$X$333,17,0)&amp;"",IF($C35='Auto Responses'!$J$4,VLOOKUP($A35,Questions!$A$2:$X$333,16,0)&amp;"",IF($C35='Auto Responses'!$J$5,VLOOKUP($A35,Questions!$A$2:$X$333,18,0)&amp;"",VLOOKUP($A35,Questions!$A$2:$X$333,15,0)&amp;"")))))</f>
      </c>
      <c r="F35" s="200">
        <f>VLOOKUP($A35,'Institution Evaluation'!$A$56:$F$345,6,0)&amp;""</f>
      </c>
      <c r="I35" s="35"/>
      <c r="J35" s="35"/>
    </row>
    <row r="36" spans="1:10" s="1" customFormat="1" ht="119.25" customHeight="1" x14ac:dyDescent="0.15">
      <c r="A36" s="19" t="s">
        <v>795</v>
      </c>
      <c r="B36" s="18">
        <f>VLOOKUP($A36,Questions!$A$2:$X$333,2,0)</f>
      </c>
      <c r="C36" s="21" t="s">
        <v>148</v>
      </c>
      <c r="D36" s="307" t="s">
        <v>2042</v>
      </c>
      <c r="E36" s="166">
        <f>IF($C$18='Auto Responses'!$J$4,'Auto Responses'!$A$6,IF($C36='Auto Responses'!$J$3,VLOOKUP($A36,Questions!$A$2:$X$333,17,0)&amp;"",IF($C36='Auto Responses'!$J$4,VLOOKUP($A36,Questions!$A$2:$X$333,16,0)&amp;"",VLOOKUP($A36,Questions!$A$2:$X$333,15,0)&amp;"")))</f>
      </c>
      <c r="F36" s="200">
        <f>VLOOKUP($A36,'Institution Evaluation'!$A$56:$F$345,6,0)&amp;""</f>
      </c>
      <c r="I36" s="35"/>
      <c r="J36" s="35"/>
    </row>
    <row r="37" spans="1:10" s="1" customFormat="1" ht="60" x14ac:dyDescent="0.15">
      <c r="A37" s="19" t="s">
        <v>796</v>
      </c>
      <c r="B37" s="18">
        <f>VLOOKUP($A37,Questions!$A$2:$X$333,2,0)</f>
      </c>
      <c r="C37" s="21" t="s">
        <v>148</v>
      </c>
      <c r="D37" s="307"/>
      <c r="E37" s="166" t="str">
        <f>IF($C$18='Auto Responses'!$J$4,'Auto Responses'!$A$6,IF($C37='Auto Responses'!$J$3,VLOOKUP($A37,Questions!$A$2:$X$333,17,0)&amp;"",IF($C37='Auto Responses'!$J$4,VLOOKUP($A37,Questions!$A$2:$X$333,16,0)&amp;"",VLOOKUP($A37,Questions!$A$2:$X$333,15,0)&amp;"")))</f>
      </c>
      <c r="F37" s="200">
        <f>VLOOKUP($A37,'Institution Evaluation'!$A$56:$F$345,6,0)&amp;""</f>
      </c>
      <c r="I37" s="35"/>
      <c r="J37" s="35"/>
    </row>
    <row r="38" spans="1:10" s="1" customFormat="1" ht="150" x14ac:dyDescent="0.15">
      <c r="A38" s="19" t="s">
        <v>797</v>
      </c>
      <c r="B38" s="18">
        <f>VLOOKUP($A38,Questions!$A$2:$X$333,2,0)</f>
      </c>
      <c r="C38" s="358" t="s">
        <v>2044</v>
      </c>
      <c r="D38" s="314"/>
      <c r="E38" s="166" t="str">
        <f>IF($C$18='Auto Responses'!$J$4,'Auto Responses'!$A$6,IF($C38='Auto Responses'!$J$3,VLOOKUP($A38,Questions!$A$2:$X$333,17,0)&amp;"",IF($C38='Auto Responses'!$J$4,VLOOKUP($A38,Questions!$A$2:$X$333,16,0)&amp;"",VLOOKUP($A38,Questions!$A$2:$X$333,15,0)&amp;"")))</f>
      </c>
      <c r="F38" s="200">
        <f>VLOOKUP($A38,'Institution Evaluation'!$A$56:$F$345,6,0)&amp;""</f>
      </c>
      <c r="I38" s="35"/>
      <c r="J38" s="35"/>
    </row>
    <row r="39" spans="1:10" s="1" customFormat="1" ht="49.5" customHeight="1" thickBot="1" x14ac:dyDescent="0.2">
      <c r="A39" s="19" t="s">
        <v>798</v>
      </c>
      <c r="B39" s="18">
        <f>VLOOKUP($A39,Questions!$A$2:$X$333,2,0)</f>
      </c>
      <c r="C39" s="21" t="inlineStr">
        <is>
          <t xml:space="preserve">Yes</t>
        </is>
      </c>
      <c r="D39" s="307" t="inlineStr">
        <is>
          <t xml:space="preserve">Supply-chain risk for OpenAI is assessed: graceful degradation if the AI vendor fails, model names configurable for substitution, annual vendor review, zero data retention.</t>
        </is>
      </c>
      <c r="E39" s="166">
        <f>IF($C$18='Auto Responses'!$J$4,'Auto Responses'!$A$6,IF($C39='Auto Responses'!$J$3,VLOOKUP($A39,Questions!$A$2:$X$333,17,0)&amp;"",IF($C39='Auto Responses'!$J$4,VLOOKUP($A39,Questions!$A$2:$X$333,16,0)&amp;"",VLOOKUP($A39,Questions!$A$2:$X$333,15,0)&amp;"")))</f>
      </c>
      <c r="F39" s="200">
        <f>VLOOKUP($A39,'Institution Evaluation'!$A$56:$F$345,6,0)&amp;""</f>
      </c>
      <c r="G39" s="235" t="s">
        <v>1448</v>
      </c>
      <c r="I39" s="35"/>
      <c r="J39" s="35"/>
    </row>
    <row r="40" spans="1:10" s="1" customFormat="1" ht="37.5" customHeight="1" thickBot="1" x14ac:dyDescent="0.2">
      <c r="A40" s="63" t="str">
        <f>VLOOKUP(LEFT($A41,4),'Auto Responses'!$N$4:$O$38,2,0)&amp;""</f>
        <v xml:space="preserve"> AI Machine Learning</v>
      </c>
      <c r="B40" s="22"/>
      <c r="C40" s="13" t="s">
        <v>1495</v>
      </c>
      <c r="D40" s="13" t="s">
        <v>72</v>
      </c>
      <c r="E40" s="31" t="s">
        <v>848</v>
      </c>
      <c r="F40" s="201" t="s">
        <v>849</v>
      </c>
      <c r="I40" s="35"/>
      <c r="J40" s="35"/>
    </row>
    <row r="41" spans="1:10" s="1" customFormat="1" ht="119.25" customHeight="1" x14ac:dyDescent="0.15">
      <c r="A41" s="19" t="s">
        <v>799</v>
      </c>
      <c r="B41" s="18">
        <f>VLOOKUP($A41,Questions!$A$2:$X$333,2,0)</f>
      </c>
      <c r="C41" s="21"/>
      <c r="D41" s="307" t="s">
        <v>2045</v>
      </c>
      <c r="E41" s="166">
        <f>IF($C$18='Auto Responses'!$J$4,'Auto Responses'!$A$6,IF($C$20='Auto Responses'!$J$4,'Auto Responses'!$A$10,IF($C41='Auto Responses'!$J$3,VLOOKUP($A41,Questions!$A$2:$X$333,17,0)&amp;"",IF($C41='Auto Responses'!$J$4,VLOOKUP($A41,Questions!$A$2:$X$333,16,0)&amp;"",VLOOKUP($A41,Questions!$A$2:$X$333,15,0)&amp;""))))</f>
      </c>
      <c r="F41" s="200">
        <f>VLOOKUP($A41,'Institution Evaluation'!$A$56:$F$345,6,0)&amp;""</f>
      </c>
      <c r="I41" s="35"/>
      <c r="J41" s="35"/>
    </row>
    <row r="42" spans="1:10" s="1" customFormat="1" ht="74.25" customHeight="1" x14ac:dyDescent="0.15">
      <c r="A42" s="19" t="s">
        <v>800</v>
      </c>
      <c r="B42" s="18">
        <f>VLOOKUP($A42,Questions!$A$2:$X$333,2,0)</f>
      </c>
      <c r="C42" s="21"/>
      <c r="D42" s="307" t="s">
        <v>2045</v>
      </c>
      <c r="E42" s="166">
        <f>IF($C$18='Auto Responses'!$J$4,'Auto Responses'!$A$6,IF($C$20='Auto Responses'!$J$4,'Auto Responses'!$A$10,IF($C42='Auto Responses'!$J$3,VLOOKUP($A42,Questions!$A$2:$X$333,17,0)&amp;"",IF($C42='Auto Responses'!$J$4,VLOOKUP($A42,Questions!$A$2:$X$333,16,0)&amp;"",VLOOKUP($A42,Questions!$A$2:$X$333,15,0)&amp;""))))</f>
      </c>
      <c r="F42" s="200">
        <f>VLOOKUP($A42,'Institution Evaluation'!$A$56:$F$345,6,0)&amp;""</f>
      </c>
      <c r="I42" s="35"/>
      <c r="J42" s="35"/>
    </row>
    <row r="43" spans="1:10" s="1" customFormat="1" ht="110.25" customHeight="1" x14ac:dyDescent="0.15">
      <c r="A43" s="19" t="s">
        <v>801</v>
      </c>
      <c r="B43" s="18">
        <f>VLOOKUP($A43,Questions!$A$2:$X$333,2,0)</f>
      </c>
      <c r="C43" s="21"/>
      <c r="D43" s="307" t="s">
        <v>2045</v>
      </c>
      <c r="E43" s="166">
        <f>IF($C$18='Auto Responses'!$J$4,'Auto Responses'!$A$6,IF($C$20='Auto Responses'!$J$4,'Auto Responses'!$A$10,IF($C43='Auto Responses'!$J$3,VLOOKUP($A43,Questions!$A$2:$X$333,17,0)&amp;"",IF($C43='Auto Responses'!$J$4,VLOOKUP($A43,Questions!$A$2:$X$333,16,0)&amp;"",VLOOKUP($A43,Questions!$A$2:$X$333,15,0)&amp;""))))</f>
      </c>
      <c r="F43" s="200">
        <f>VLOOKUP($A43,'Institution Evaluation'!$A$56:$F$345,6,0)&amp;""</f>
      </c>
      <c r="I43" s="35"/>
      <c r="J43" s="35"/>
    </row>
    <row r="44" spans="1:10" s="1" customFormat="1" ht="38.25" customHeight="1" x14ac:dyDescent="0.15">
      <c r="A44" s="19" t="s">
        <v>803</v>
      </c>
      <c r="B44" s="18">
        <f>VLOOKUP($A44,Questions!$A$2:$X$333,2,0)</f>
      </c>
      <c r="C44" s="21"/>
      <c r="D44" s="307" t="s">
        <v>2045</v>
      </c>
      <c r="E44" s="166">
        <f>IF($C$18='Auto Responses'!$J$4,'Auto Responses'!$A$6,IF($C$20='Auto Responses'!$J$4,'Auto Responses'!$A$10,IF($C44='Auto Responses'!$J$3,VLOOKUP($A44,Questions!$A$2:$X$333,17,0)&amp;"",IF($C44='Auto Responses'!$J$4,VLOOKUP($A44,Questions!$A$2:$X$333,16,0)&amp;"",VLOOKUP($A44,Questions!$A$2:$X$333,15,0)&amp;""))))</f>
      </c>
      <c r="F44" s="200">
        <f>VLOOKUP($A44,'Institution Evaluation'!$A$56:$F$345,6,0)&amp;""</f>
      </c>
      <c r="I44" s="35"/>
      <c r="J44" s="35"/>
    </row>
    <row r="45" spans="1:10" s="1" customFormat="1" ht="63" customHeight="1" x14ac:dyDescent="0.15">
      <c r="A45" s="19" t="s">
        <v>805</v>
      </c>
      <c r="B45" s="18">
        <f>VLOOKUP($A45,Questions!$A$2:$X$333,2,0)</f>
      </c>
      <c r="C45" s="21"/>
      <c r="D45" s="307" t="s">
        <v>2045</v>
      </c>
      <c r="E45" s="166">
        <f>IF($C$18='Auto Responses'!$J$4,'Auto Responses'!$A$6,IF($C$20='Auto Responses'!$J$4,'Auto Responses'!$A$10,IF($C45='Auto Responses'!$J$3,VLOOKUP($A45,Questions!$A$2:$X$333,17,0)&amp;"",IF($C45='Auto Responses'!$J$4,VLOOKUP($A45,Questions!$A$2:$X$333,16,0)&amp;"",VLOOKUP($A45,Questions!$A$2:$X$333,15,0)&amp;""))))</f>
      </c>
      <c r="F45" s="200">
        <f>VLOOKUP($A45,'Institution Evaluation'!$A$56:$F$345,6,0)&amp;""</f>
      </c>
      <c r="I45" s="35"/>
      <c r="J45" s="35"/>
    </row>
    <row r="46" spans="1:10" s="1" customFormat="1" ht="101.25" customHeight="1" x14ac:dyDescent="0.15">
      <c r="A46" s="19" t="s">
        <v>806</v>
      </c>
      <c r="B46" s="18">
        <f>VLOOKUP($A46,Questions!$A$2:$X$333,2,0)</f>
      </c>
      <c r="C46" s="21"/>
      <c r="D46" s="307" t="s">
        <v>2045</v>
      </c>
      <c r="E46" s="166">
        <f>IF($C$18='Auto Responses'!$J$4,'Auto Responses'!$A$6,IF($C$20='Auto Responses'!$J$4,'Auto Responses'!$A$10,IF($C46='Auto Responses'!$J$3,VLOOKUP($A46,Questions!$A$2:$X$333,17,0)&amp;"",IF($C46='Auto Responses'!$J$4,VLOOKUP($A46,Questions!$A$2:$X$333,16,0)&amp;"",VLOOKUP($A46,Questions!$A$2:$X$333,15,0)&amp;""))))</f>
      </c>
      <c r="F46" s="200">
        <f>VLOOKUP($A46,'Institution Evaluation'!$A$56:$F$345,6,0)&amp;""</f>
      </c>
      <c r="I46" s="35"/>
      <c r="J46" s="35"/>
    </row>
    <row r="47" spans="1:10" s="1" customFormat="1" ht="102.75" customHeight="1" x14ac:dyDescent="0.15">
      <c r="A47" s="19" t="s">
        <v>807</v>
      </c>
      <c r="B47" s="18">
        <f>VLOOKUP($A47,Questions!$A$2:$X$333,2,0)</f>
      </c>
      <c r="C47" s="21"/>
      <c r="D47" s="307" t="s">
        <v>2045</v>
      </c>
      <c r="E47" s="166">
        <f>IF($C$18='Auto Responses'!$J$4,'Auto Responses'!$A$6,IF($C$20='Auto Responses'!$J$4,'Auto Responses'!$A$10,IF($C47='Auto Responses'!$J$3,VLOOKUP($A47,Questions!$A$2:$X$333,17,0)&amp;"",IF($C47='Auto Responses'!$J$4,VLOOKUP($A47,Questions!$A$2:$X$333,16,0)&amp;"",VLOOKUP($A47,Questions!$A$2:$X$333,15,0)&amp;""))))</f>
      </c>
      <c r="F47" s="200">
        <f>VLOOKUP($A47,'Institution Evaluation'!$A$56:$F$345,6,0)&amp;""</f>
      </c>
      <c r="I47" s="35"/>
      <c r="J47" s="35"/>
    </row>
    <row r="48" spans="1:10" s="1" customFormat="1" ht="67.5" customHeight="1" thickBot="1" x14ac:dyDescent="0.2">
      <c r="A48" s="19" t="s">
        <v>809</v>
      </c>
      <c r="B48" s="18">
        <f>VLOOKUP($A48,Questions!$A$2:$X$333,2,0)</f>
      </c>
      <c r="C48" s="21"/>
      <c r="D48" s="307" t="s">
        <v>2045</v>
      </c>
      <c r="E48" s="166">
        <f>IF($C$18='Auto Responses'!$J$4,'Auto Responses'!$A$6,IF($C$20='Auto Responses'!$J$4,'Auto Responses'!$A$10,IF($C48='Auto Responses'!$J$3,VLOOKUP($A48,Questions!$A$2:$X$333,17,0)&amp;"",IF($C48='Auto Responses'!$J$4,VLOOKUP($A48,Questions!$A$2:$X$333,16,0)&amp;"",VLOOKUP($A48,Questions!$A$2:$X$333,15,0)&amp;""))))</f>
      </c>
      <c r="F48" s="200">
        <f>VLOOKUP($A48,'Institution Evaluation'!$A$56:$F$345,6,0)&amp;""</f>
      </c>
      <c r="G48" s="235" t="s">
        <v>1448</v>
      </c>
      <c r="I48" s="35"/>
      <c r="J48" s="35"/>
    </row>
    <row r="49" spans="1:12" s="1" customFormat="1" ht="37.5" customHeight="1" thickBot="1" x14ac:dyDescent="0.2">
      <c r="A49" s="63" t="str">
        <f>VLOOKUP(LEFT($A50,4),'Auto Responses'!$N$4:$O$38,2,0)&amp;""</f>
        <v xml:space="preserve"> AI Large Language Model (LLM)</v>
      </c>
      <c r="B49" s="22"/>
      <c r="C49" s="13" t="s">
        <v>1495</v>
      </c>
      <c r="D49" s="13" t="s">
        <v>72</v>
      </c>
      <c r="E49" s="31" t="s">
        <v>848</v>
      </c>
      <c r="F49" s="201" t="s">
        <v>849</v>
      </c>
      <c r="I49" s="35"/>
      <c r="J49" s="35"/>
    </row>
    <row r="50" spans="1:12" s="1" customFormat="1" ht="60" customHeight="1" x14ac:dyDescent="0.15">
      <c r="A50" s="19" t="s">
        <v>810</v>
      </c>
      <c r="B50" s="18">
        <f>VLOOKUP($A50,Questions!$A$2:$X$333,2,0)</f>
      </c>
      <c r="C50" s="21" t="s">
        <v>40</v>
      </c>
      <c r="D50" s="307" t="s">
        <v>2046</v>
      </c>
      <c r="E50" s="166">
        <f>IF($C$18='Auto Responses'!$J$4,'Auto Responses'!$A$6,IF($C$21='Auto Responses'!$J$4,'Auto Responses'!$A$11,IF($C50='Auto Responses'!$J$3,VLOOKUP($A50,Questions!$A$2:$X$333,17,0)&amp;"",IF($C50='Auto Responses'!$J$4,VLOOKUP($A50,Questions!$A$2:$X$333,16,0)&amp;"",VLOOKUP($A50,Questions!$A$2:$X$333,15,0)&amp;""))))</f>
      </c>
      <c r="F50" s="200">
        <f>VLOOKUP($A50,'Institution Evaluation'!$A$56:$F$345,6,0)&amp;""</f>
      </c>
      <c r="I50" s="35"/>
      <c r="J50" s="35"/>
    </row>
    <row r="51" spans="1:12" s="1" customFormat="1" ht="102.75" customHeight="1" x14ac:dyDescent="0.15">
      <c r="A51" s="19" t="s">
        <v>811</v>
      </c>
      <c r="B51" s="18">
        <f>VLOOKUP($A51,Questions!$A$2:$X$333,2,0)</f>
      </c>
      <c r="C51" s="21"/>
      <c r="D51" s="307" t="s">
        <v>2047</v>
      </c>
      <c r="E51" s="166">
        <f>IF($C$18='Auto Responses'!$J$4,'Auto Responses'!$A$6,IF($C$21='Auto Responses'!$J$4,'Auto Responses'!$A$11,IF($C51='Auto Responses'!$J$3,VLOOKUP($A51,Questions!$A$2:$X$333,17,0)&amp;"",IF($C51='Auto Responses'!$J$4,VLOOKUP($A51,Questions!$A$2:$X$333,16,0)&amp;"",VLOOKUP($A51,Questions!$A$2:$X$333,15,0)&amp;""))))</f>
      </c>
      <c r="F51" s="200">
        <f>VLOOKUP($A51,'Institution Evaluation'!$A$56:$F$345,6,0)&amp;""</f>
      </c>
      <c r="I51" s="35"/>
      <c r="J51" s="35"/>
    </row>
    <row r="52" spans="1:12" s="1" customFormat="1" ht="75.75" customHeight="1" x14ac:dyDescent="0.15">
      <c r="A52" s="19" t="s">
        <v>812</v>
      </c>
      <c r="B52" s="18">
        <f>VLOOKUP($A52,Questions!$A$2:$X$333,2,0)</f>
      </c>
      <c r="C52" s="21" t="s">
        <v>40</v>
      </c>
      <c r="D52" s="307" t="s">
        <v>2048</v>
      </c>
      <c r="E52" s="166">
        <f>IF($C$18='Auto Responses'!$J$4,'Auto Responses'!$A$6,IF($C$21='Auto Responses'!$J$4,'Auto Responses'!$A$11,IF($C52='Auto Responses'!$J$3,VLOOKUP($A52,Questions!$A$2:$X$333,17,0)&amp;"",IF($C52='Auto Responses'!$J$4,VLOOKUP($A52,Questions!$A$2:$X$333,16,0)&amp;"",VLOOKUP($A52,Questions!$A$2:$X$333,15,0)&amp;""))))</f>
      </c>
      <c r="F52" s="200">
        <f>VLOOKUP($A52,'Institution Evaluation'!$A$56:$F$345,6,0)&amp;""</f>
      </c>
      <c r="I52" s="35"/>
      <c r="J52" s="35"/>
    </row>
    <row r="53" spans="1:12" s="1" customFormat="1" ht="67.5" customHeight="1" x14ac:dyDescent="0.15">
      <c r="A53" s="19" t="s">
        <v>813</v>
      </c>
      <c r="B53" s="18">
        <f>VLOOKUP($A53,Questions!$A$2:$X$333,2,0)</f>
      </c>
      <c r="C53" s="21" t="s">
        <v>40</v>
      </c>
      <c r="D53" s="307" t="s">
        <v>2049</v>
      </c>
      <c r="E53" s="166">
        <f>IF($C$18='Auto Responses'!$J$4,'Auto Responses'!$A$6,IF($C$21='Auto Responses'!$J$4,'Auto Responses'!$A$11,IF($C53='Auto Responses'!$J$3,VLOOKUP($A53,Questions!$A$2:$X$333,17,0)&amp;"",IF($C53='Auto Responses'!$J$4,VLOOKUP($A53,Questions!$A$2:$X$333,16,0)&amp;"",VLOOKUP($A53,Questions!$A$2:$X$333,15,0)&amp;""))))</f>
      </c>
      <c r="F53" s="200">
        <f>VLOOKUP($A53,'Institution Evaluation'!$A$56:$F$345,6,0)&amp;""</f>
      </c>
      <c r="I53" s="35"/>
      <c r="J53" s="35"/>
    </row>
    <row r="54" spans="1:12" s="1" customFormat="1" ht="49.5" customHeight="1" x14ac:dyDescent="0.15">
      <c r="A54" s="19" t="s">
        <v>814</v>
      </c>
      <c r="B54" s="18">
        <f>VLOOKUP($A54,Questions!$A$2:$X$333,2,0)</f>
      </c>
      <c r="C54" s="21" t="s">
        <v>148</v>
      </c>
      <c r="D54" s="307"/>
      <c r="E54" s="166" t="str">
        <f>IF($C$18='Auto Responses'!$J$4,'Auto Responses'!$A$6,IF($C$21='Auto Responses'!$J$4,'Auto Responses'!$A$11,IF($C54='Auto Responses'!$J$3,VLOOKUP($A54,Questions!$A$2:$X$333,17,0)&amp;"",IF($C54='Auto Responses'!$J$4,VLOOKUP($A54,Questions!$A$2:$X$333,16,0)&amp;"",VLOOKUP($A54,Questions!$A$2:$X$333,15,0)&amp;""))))</f>
      </c>
      <c r="F54" s="200">
        <f>VLOOKUP($A54,'Institution Evaluation'!$A$56:$F$345,6,0)&amp;""</f>
      </c>
      <c r="I54" s="35"/>
      <c r="J54" s="35"/>
    </row>
    <row r="55" spans="1:12" s="1" customFormat="1" ht="55.5" customHeight="1" x14ac:dyDescent="0.15">
      <c r="A55" s="19" t="s">
        <v>815</v>
      </c>
      <c r="B55" s="18">
        <f>VLOOKUP($A55,Questions!$A$2:$X$333,2,0)</f>
      </c>
      <c r="C55" s="21" t="s">
        <v>148</v>
      </c>
      <c r="D55" s="307"/>
      <c r="E55" s="166" t="str">
        <f>IF($C$18='Auto Responses'!$J$4,'Auto Responses'!$A$6,IF($C$21='Auto Responses'!$J$4,'Auto Responses'!$A$11,IF($C55='Auto Responses'!$J$3,VLOOKUP($A55,Questions!$A$2:$X$333,17,0)&amp;"",IF($C55='Auto Responses'!$J$4,VLOOKUP($A55,Questions!$A$2:$X$333,16,0)&amp;"",VLOOKUP($A55,Questions!$A$2:$X$333,15,0)&amp;""))))</f>
      </c>
      <c r="F55" s="200">
        <f>VLOOKUP($A55,'Institution Evaluation'!$A$56:$F$345,6,0)&amp;""</f>
      </c>
      <c r="G55" s="235" t="s">
        <v>1448</v>
      </c>
      <c r="I55" s="35"/>
      <c r="J55" s="35"/>
    </row>
    <row r="56" spans="1:12" s="1" customFormat="1" ht="33" customHeight="1" x14ac:dyDescent="0.15">
      <c r="A56" s="262" t="s">
        <v>1505</v>
      </c>
      <c r="C56" s="8"/>
      <c r="D56" s="9"/>
      <c r="E56" s="236" t="s">
        <v>1449</v>
      </c>
      <c r="F56" s="198"/>
      <c r="G56" s="198"/>
      <c r="I56" s="35"/>
      <c r="J56" s="35"/>
    </row>
    <row r="57" spans="1:12" s="1" customFormat="1" ht="15" hidden="1" customHeight="1" x14ac:dyDescent="0.15">
      <c r="A57"/>
      <c r="C57" s="8"/>
      <c r="D57" s="9"/>
      <c r="E57" s="10"/>
      <c r="F57" s="198"/>
      <c r="G57" s="198"/>
      <c r="I57" s="35"/>
      <c r="J57" s="35"/>
    </row>
    <row r="58" spans="1:12" ht="15" hidden="1" customHeight="1" x14ac:dyDescent="0.15">
      <c r="A58" s="1"/>
      <c r="B58" s="8"/>
      <c r="C58" s="70"/>
      <c r="D58" s="10"/>
      <c r="E58" s="1"/>
      <c r="F58" s="198"/>
      <c r="G58" s="198"/>
      <c r="H58" s="35"/>
      <c r="I58" s="1"/>
      <c r="J58" s="1"/>
      <c r="L58"/>
    </row>
    <row r="59" spans="1:12" ht="0" hidden="1" customHeight="1" x14ac:dyDescent="0.15">
      <c r="A59" s="19" t="e">
        <f>#REF!</f>
      </c>
    </row>
    <row r="60" spans="1:12" ht="0" hidden="1" customHeight="1" x14ac:dyDescent="0.15">
      <c r="A60" s="19">
        <f>#REF!</f>
      </c>
    </row>
    <row r="61" spans="1:12" ht="0" hidden="1" customHeight="1" x14ac:dyDescent="0.15">
      <c r="A61" s="19">
        <f>#REF!</f>
      </c>
    </row>
    <row r="62" spans="1:12" ht="0" hidden="1" customHeight="1" x14ac:dyDescent="0.15">
      <c r="A62" s="19">
        <f>#REF!</f>
      </c>
    </row>
    <row r="63" spans="1:12" ht="0" hidden="1" customHeight="1" x14ac:dyDescent="0.15">
      <c r="A63" s="19">
        <f>#REF!</f>
      </c>
    </row>
    <row r="64" spans="1:12" ht="0" hidden="1" customHeight="1" x14ac:dyDescent="0.15">
      <c r="A64" s="19">
        <f>#REF!</f>
      </c>
    </row>
    <row r="65" spans="1:1" ht="0" hidden="1" customHeight="1" x14ac:dyDescent="0.15">
      <c r="A65" s="19">
        <f>#REF!</f>
      </c>
    </row>
    <row r="1048576" ht="3" customHeight="1" x14ac:dyDescent="0.15"/>
  </sheetData>
  <dataValidations count="3">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8EA972C4-6F3E-47BF-99CE-89C558F52B53}"/>
  </dataValidations>
  <hyperlinks>
    <hyperlink ref="A11" r:id="rId1" display="For full instructions, please visit the HECVAT website."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61" zoomScale="80" zoomScaleNormal="80" workbookViewId="0">
      <selection activeCell="D20" sqref="D20"/>
    </sheetView>
  </sheetViews>
  <sheetFormatPr baseColWidth="10" defaultColWidth="0" defaultRowHeight="0" customHeight="1" zeroHeight="1" x14ac:dyDescent="0.15"/>
  <cols>
    <col min="1" max="1" width="8.25" customWidth="1"/>
    <col min="2" max="2" width="55.125" style="1" customWidth="1"/>
    <col min="3" max="3" width="20.375" style="8" customWidth="1"/>
    <col min="4" max="4" width="55.625" style="9" customWidth="1"/>
    <col min="5" max="5" width="32" style="40" customWidth="1"/>
    <col min="6" max="6" width="30.625" style="195" customWidth="1"/>
    <col min="7" max="7" width="18.125" style="1" customWidth="1"/>
    <col min="8" max="8" width="18.125" style="35" hidden="1" customWidth="1"/>
    <col min="9" max="10" width="18.125" style="1" hidden="1" customWidth="1"/>
    <col min="11" max="11" width="6.625" style="1" hidden="1" customWidth="1"/>
    <col min="12" max="16384" width="6.625" hidden="1"/>
  </cols>
  <sheetData>
    <row r="1" spans="1:9" ht="0" hidden="1" customHeight="1" x14ac:dyDescent="0.15">
      <c r="A1" t="s">
        <v>1447</v>
      </c>
    </row>
    <row r="2" spans="1:9" ht="36" customHeight="1" x14ac:dyDescent="0.15">
      <c r="A2" s="167" t="s">
        <v>1380</v>
      </c>
      <c r="B2" s="167"/>
      <c r="C2" s="168"/>
      <c r="D2" s="302"/>
      <c r="E2" s="169"/>
      <c r="F2" s="196" t="str">
        <f>'Auto Responses'!$A$36</f>
      </c>
    </row>
    <row r="3" spans="1:9" s="1" customFormat="1" ht="29.25" customHeight="1" x14ac:dyDescent="0.15">
      <c r="A3" s="37" t="s">
        <v>940</v>
      </c>
      <c r="B3" s="77"/>
      <c r="C3" s="66">
        <f>'START HERE'!$C$3</f>
      </c>
      <c r="D3" s="303"/>
      <c r="E3" s="36"/>
      <c r="F3" s="50"/>
      <c r="H3" s="35"/>
    </row>
    <row r="4" spans="1:9" s="1" customFormat="1" ht="36" customHeight="1" x14ac:dyDescent="0.15">
      <c r="A4" s="11" t="s">
        <v>865</v>
      </c>
      <c r="B4" s="12"/>
      <c r="C4" s="13"/>
      <c r="D4" s="14"/>
      <c r="E4" s="15"/>
      <c r="F4" s="15"/>
      <c r="H4" s="35"/>
    </row>
    <row r="5" spans="1:9" s="1" customFormat="1" ht="19.5" customHeight="1" x14ac:dyDescent="0.15">
      <c r="A5" s="42" t="str">
        <f>HLOOKUP($A$4,'Auto Responses'!$D$2:$D$8,2,0)&amp;""</f>
      </c>
      <c r="B5" s="16"/>
      <c r="C5" s="67"/>
      <c r="D5" s="304"/>
      <c r="E5" s="16"/>
      <c r="F5" s="256"/>
      <c r="I5" s="35"/>
    </row>
    <row r="6" spans="1:9" s="1" customFormat="1" ht="19.5" customHeight="1" x14ac:dyDescent="0.15">
      <c r="A6" s="42" t="str">
        <f>HLOOKUP($A$4,'Auto Responses'!$D$2:$D$8,3,0)&amp;""</f>
      </c>
      <c r="B6" s="16"/>
      <c r="C6" s="67"/>
      <c r="D6" s="304"/>
      <c r="E6" s="16"/>
      <c r="F6" s="257"/>
      <c r="I6" s="35"/>
    </row>
    <row r="7" spans="1:9" s="1" customFormat="1" ht="19.5" customHeight="1" x14ac:dyDescent="0.1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9" s="1" customFormat="1" ht="19.5" customHeight="1" x14ac:dyDescent="0.15">
      <c r="A8" s="42" t="str">
        <f>HLOOKUP($A$4,'Auto Responses'!$D$2:$D$8,5,0)&amp;""</f>
      </c>
      <c r="B8" s="16"/>
      <c r="C8" s="67"/>
      <c r="D8" s="304"/>
      <c r="E8" s="16"/>
      <c r="F8" s="257"/>
      <c r="I8" s="35"/>
    </row>
    <row r="9" spans="1:9" s="1" customFormat="1" ht="19.5" customHeight="1" x14ac:dyDescent="0.15">
      <c r="A9" s="42" t="str">
        <f>HLOOKUP($A$4,'Auto Responses'!$D$2:$D$8,6,0)&amp;""</f>
      </c>
      <c r="B9" s="16"/>
      <c r="C9" s="67"/>
      <c r="D9" s="304"/>
      <c r="E9" s="16"/>
      <c r="F9" s="257"/>
      <c r="I9" s="35"/>
    </row>
    <row r="10" spans="1:9" s="1" customFormat="1" ht="19.5" customHeight="1" x14ac:dyDescent="0.15">
      <c r="A10" s="243" t="str">
        <f>HLOOKUP($A$4,'Auto Responses'!$D$2:$D$8,7,0)&amp;""</f>
      </c>
      <c r="B10" s="16"/>
      <c r="C10" s="67"/>
      <c r="D10" s="304"/>
      <c r="E10" s="16"/>
      <c r="F10" s="257"/>
      <c r="I10" s="35"/>
    </row>
    <row r="11" spans="1:9" s="1" customFormat="1" ht="19.5" customHeight="1" x14ac:dyDescent="0.15">
      <c r="A11" s="360" t="str">
        <f>HLOOKUP($A$4,'Auto Responses'!$D$2:$D$9,8,0)&amp;""</f>
      </c>
      <c r="B11" s="16"/>
      <c r="C11" s="67"/>
      <c r="D11" s="304"/>
      <c r="E11" s="16"/>
      <c r="F11" s="258"/>
      <c r="I11" s="35"/>
    </row>
    <row r="12" spans="1:9" s="1" customFormat="1" ht="36" customHeight="1" x14ac:dyDescent="0.15">
      <c r="A12" s="63" t="str">
        <f>VLOOKUP(LEFT($A13,4),'Auto Responses'!$N$4:$O$38,2,0)&amp;""</f>
        <v xml:space="preserve"> General Information</v>
      </c>
      <c r="B12" s="12"/>
      <c r="C12" s="13" t="s">
        <v>1495</v>
      </c>
      <c r="D12" s="321"/>
      <c r="E12" s="79"/>
      <c r="F12" s="79"/>
      <c r="H12" s="35"/>
    </row>
    <row r="13" spans="1:9" s="1" customFormat="1" ht="22.5" customHeight="1" x14ac:dyDescent="0.15">
      <c r="A13" s="19" t="s">
        <v>21</v>
      </c>
      <c r="B13" s="78">
        <f>VLOOKUP($A13,Questions!$A$2:$X$333,2,0)&amp;""</f>
      </c>
      <c r="C13" s="75">
        <f>VLOOKUP($A13,'START HERE'!$A$13:$C$21,3,0)&amp;""</f>
      </c>
      <c r="D13" s="303"/>
      <c r="E13" s="36"/>
      <c r="F13" s="50"/>
      <c r="H13" s="35"/>
    </row>
    <row r="14" spans="1:9" s="1" customFormat="1" ht="22.5" customHeight="1" x14ac:dyDescent="0.15">
      <c r="A14" s="19" t="s">
        <v>24</v>
      </c>
      <c r="B14" s="78">
        <f>VLOOKUP($A14,Questions!$A$2:$X$333,2,0)&amp;""</f>
      </c>
      <c r="C14" s="75">
        <f>VLOOKUP($A14,'START HERE'!$A$13:$C$21,3,0)&amp;""</f>
      </c>
      <c r="D14" s="303"/>
      <c r="E14" s="36"/>
      <c r="F14" s="50"/>
      <c r="H14" s="35"/>
    </row>
    <row r="15" spans="1:9" s="1" customFormat="1" ht="22.5" customHeight="1" x14ac:dyDescent="0.15">
      <c r="A15" s="19" t="s">
        <v>25</v>
      </c>
      <c r="B15" s="78">
        <f>VLOOKUP($A15,Questions!$A$2:$X$333,2,0)&amp;""</f>
      </c>
      <c r="C15" s="75">
        <f>VLOOKUP($A15,'START HERE'!$A$13:$C$21,3,0)&amp;""</f>
      </c>
      <c r="D15" s="303"/>
      <c r="E15" s="36"/>
      <c r="F15" s="50"/>
      <c r="H15" s="35"/>
    </row>
    <row r="16" spans="1:9" s="1" customFormat="1" ht="22.5" customHeight="1" x14ac:dyDescent="0.15">
      <c r="A16" s="19" t="s">
        <v>30</v>
      </c>
      <c r="B16" s="78">
        <f>VLOOKUP($A16,Questions!$A$2:$X$333,2,0)&amp;""</f>
      </c>
      <c r="C16" s="75">
        <f>VLOOKUP($A16,'START HERE'!$A$13:$C$21,3,0)&amp;""</f>
      </c>
      <c r="D16" s="303"/>
      <c r="E16" s="36"/>
      <c r="F16" s="50"/>
      <c r="H16" s="35"/>
    </row>
    <row r="17" spans="1:8" s="1" customFormat="1" ht="22.5" customHeight="1" x14ac:dyDescent="0.15">
      <c r="A17" s="19" t="s">
        <v>32</v>
      </c>
      <c r="B17" s="78">
        <f>VLOOKUP($A17,Questions!$A$2:$X$333,2,0)&amp;""</f>
      </c>
      <c r="C17" s="75">
        <f>VLOOKUP($A17,'START HERE'!$A$13:$C$21,3,0)&amp;""</f>
      </c>
      <c r="D17" s="303"/>
      <c r="E17" s="36"/>
      <c r="F17" s="50"/>
      <c r="H17" s="35"/>
    </row>
    <row r="18" spans="1:8" s="1" customFormat="1" ht="37.5" customHeight="1" thickBot="1" x14ac:dyDescent="0.2">
      <c r="A18" s="63" t="str">
        <f>VLOOKUP(LEFT($A19,4),'Auto Responses'!$N$4:$O$38,2,0)&amp;""</f>
        <v xml:space="preserve"> Required Questions</v>
      </c>
      <c r="B18" s="22"/>
      <c r="C18" s="13" t="s">
        <v>1495</v>
      </c>
      <c r="D18" s="13" t="s">
        <v>72</v>
      </c>
      <c r="E18" s="31" t="s">
        <v>848</v>
      </c>
      <c r="F18" s="202" t="s">
        <v>849</v>
      </c>
      <c r="H18" s="35"/>
    </row>
    <row r="19" spans="1:8" s="1" customFormat="1" ht="38.25" customHeight="1" x14ac:dyDescent="0.15">
      <c r="A19" s="19" t="s">
        <v>58</v>
      </c>
      <c r="B19" s="18">
        <f>VLOOKUP($A19,Questions!$A$2:$X$333,2,0)</f>
      </c>
      <c r="C19" s="71">
        <f>VLOOKUP($A19,'START HERE'!$A$23:$F$36,3,0)&amp;""</f>
      </c>
      <c r="D19" s="306">
        <f>VLOOKUP($A19,'START HERE'!$A$23:$F$36,4,0)&amp;""</f>
      </c>
      <c r="E19" s="166">
        <f>IF($C19='Auto Responses'!$J$3,VLOOKUP($A19,Questions!$A$2:$X$333,17,0)&amp;"",IF($C19='Auto Responses'!$J$4,VLOOKUP($A19,Questions!$A$2:$X$333,16,0)&amp;"",VLOOKUP($A19,Questions!$A$2:$X$333,15,0)&amp;""))</f>
      </c>
      <c r="F19" s="203">
        <f>VLOOKUP($A19,'START HERE'!$A$23:$F$36,6,0)&amp;""</f>
      </c>
      <c r="H19" s="35"/>
    </row>
    <row r="20" spans="1:8" s="1" customFormat="1" ht="50.25" customHeight="1" x14ac:dyDescent="0.15">
      <c r="A20" s="19" t="s">
        <v>61</v>
      </c>
      <c r="B20" s="18">
        <f>VLOOKUP($A20,Questions!$A$2:$X$333,2,0)</f>
      </c>
      <c r="C20" s="71">
        <f>VLOOKUP($A20,'START HERE'!$A$23:$F$36,3,0)&amp;""</f>
      </c>
      <c r="D20" s="306">
        <f>VLOOKUP($A20,'START HERE'!$A$23:$F$36,4,0)&amp;""</f>
      </c>
      <c r="E20" s="166">
        <f>IF($C20='Auto Responses'!$J$3,VLOOKUP($A20,Questions!$A$2:$X$333,17,0)&amp;"",IF($C20='Auto Responses'!$J$4,VLOOKUP($A20,Questions!$A$2:$X$333,16,0)&amp;"",VLOOKUP($A20,Questions!$A$2:$X$333,15,0)&amp;""))</f>
      </c>
      <c r="F20" s="203">
        <f>VLOOKUP($A20,'START HERE'!$A$23:$F$36,6,0)&amp;""</f>
      </c>
      <c r="H20" s="35"/>
    </row>
    <row r="21" spans="1:8" s="1" customFormat="1" ht="56.25" customHeight="1" x14ac:dyDescent="0.15">
      <c r="A21" s="19" t="s">
        <v>64</v>
      </c>
      <c r="B21" s="18">
        <f>VLOOKUP($A21,Questions!$A$2:$X$333,2,0)</f>
      </c>
      <c r="C21" s="71">
        <f>VLOOKUP($A21,'START HERE'!$A$23:$F$36,3,0)&amp;""</f>
      </c>
      <c r="D21" s="306">
        <f>VLOOKUP($A21,'START HERE'!$A$23:$F$36,4,0)&amp;""</f>
      </c>
      <c r="E21" s="166">
        <f>IF($C21='Auto Responses'!$J$3,VLOOKUP($A21,Questions!$A$2:$X$333,17,0)&amp;"",IF($C21='Auto Responses'!$J$4,VLOOKUP($A21,Questions!$A$2:$X$333,16,0)&amp;"",VLOOKUP($A21,Questions!$A$2:$X$333,15,0)&amp;""))</f>
      </c>
      <c r="F21" s="203">
        <f>VLOOKUP($A21,'START HERE'!$A$23:$F$36,6,0)&amp;""</f>
      </c>
      <c r="H21" s="35"/>
    </row>
    <row r="22" spans="1:8" s="1" customFormat="1" ht="56.25" customHeight="1" thickBot="1" x14ac:dyDescent="0.2">
      <c r="A22" s="19" t="s">
        <v>968</v>
      </c>
      <c r="B22" s="18">
        <f>VLOOKUP($A22,Questions!$A$2:$X$333,2,0)</f>
      </c>
      <c r="C22" s="71">
        <f>VLOOKUP($A22,'START HERE'!$A$23:$F$36,3,0)&amp;""</f>
      </c>
      <c r="D22" s="306">
        <f>VLOOKUP($A22,'START HERE'!$A$23:$F$36,4,0)&amp;""</f>
      </c>
      <c r="E22" s="166">
        <f>IF($C22='Auto Responses'!$J$3,VLOOKUP($A22,Questions!$A$2:$X$333,17,0)&amp;"",IF($C22='Auto Responses'!$J$4,VLOOKUP($A22,Questions!$A$2:$X$333,16,0)&amp;"",VLOOKUP($A22,Questions!$A$2:$X$333,15,0)&amp;""))</f>
      </c>
      <c r="F22" s="203">
        <f>VLOOKUP($A22,'START HERE'!$A$23:$F$36,6,0)&amp;""</f>
      </c>
      <c r="G22" s="235" t="s">
        <v>1448</v>
      </c>
      <c r="H22" s="35"/>
    </row>
    <row r="23" spans="1:8" s="1" customFormat="1" ht="37.5" customHeight="1" thickBot="1" x14ac:dyDescent="0.2">
      <c r="A23" s="63" t="str">
        <f>VLOOKUP(LEFT($A24,4),'Auto Responses'!$N$4:$O$38,2,0)&amp;""</f>
        <v xml:space="preserve"> General Privacy</v>
      </c>
      <c r="B23" s="22"/>
      <c r="C23" s="13" t="s">
        <v>1495</v>
      </c>
      <c r="D23" s="13" t="s">
        <v>72</v>
      </c>
      <c r="E23" s="31" t="s">
        <v>848</v>
      </c>
      <c r="F23" s="201" t="s">
        <v>849</v>
      </c>
      <c r="H23" s="35"/>
    </row>
    <row r="24" spans="1:8" s="1" customFormat="1" ht="60" x14ac:dyDescent="0.15">
      <c r="A24" s="19" t="s">
        <v>857</v>
      </c>
      <c r="B24" s="18">
        <f>VLOOKUP($A24,Questions!$A$2:$X$333,2,0)</f>
      </c>
      <c r="C24" s="21" t="s">
        <v>40</v>
      </c>
      <c r="D24" s="320" t="s">
        <v>2051</v>
      </c>
      <c r="E24" s="166">
        <f>IF($C24='Auto Responses'!$J$3,VLOOKUP($A24,Questions!$A$2:$X$333,17,0)&amp;"",IF($C24='Auto Responses'!$J$4,VLOOKUP($A24,Questions!$A$2:$X$333,16,0)&amp;"",VLOOKUP($A24,Questions!$A$2:$X$333,15,0)&amp;""))</f>
      </c>
      <c r="F24" s="203">
        <f>VLOOKUP($A24,'Privacy Analyst Evaluation'!$A$46:$F$120,6,0)&amp;""</f>
      </c>
      <c r="H24" s="35"/>
    </row>
    <row r="25" spans="1:8" s="1" customFormat="1" ht="120" x14ac:dyDescent="0.15">
      <c r="A25" s="19" t="s">
        <v>858</v>
      </c>
      <c r="B25" s="18">
        <f>VLOOKUP($A25,Questions!$A$2:$X$333,2,0)</f>
      </c>
      <c r="C25" s="21" t="s">
        <v>148</v>
      </c>
      <c r="D25" s="320" t="s">
        <v>2052</v>
      </c>
      <c r="E25" s="166">
        <f>IF($C25='Auto Responses'!$J$3,VLOOKUP($A25,Questions!$A$2:$X$333,17,0)&amp;"",IF($C25='Auto Responses'!$J$4,VLOOKUP($A25,Questions!$A$2:$X$333,16,0)&amp;"",VLOOKUP($A25,Questions!$A$2:$X$333,15,0)&amp;""))</f>
      </c>
      <c r="F25" s="203">
        <f>VLOOKUP($A25,'Privacy Analyst Evaluation'!$A$46:$F$120,6,0)&amp;""</f>
      </c>
      <c r="H25" s="35"/>
    </row>
    <row r="26" spans="1:8" s="1" customFormat="1" ht="35.25" customHeight="1" x14ac:dyDescent="0.15">
      <c r="A26" s="19" t="s">
        <v>859</v>
      </c>
      <c r="B26" s="18">
        <f>VLOOKUP($A26,Questions!$A$2:$X$333,2,0)</f>
      </c>
      <c r="C26" s="21" t="s">
        <v>40</v>
      </c>
      <c r="D26" s="320" t="s">
        <v>2053</v>
      </c>
      <c r="E26" s="166">
        <f>IF($C26='Auto Responses'!$J$3,VLOOKUP($A26,Questions!$A$2:$X$333,17,0)&amp;"",IF($C26='Auto Responses'!$J$4,VLOOKUP($A26,Questions!$A$2:$X$333,16,0)&amp;"",VLOOKUP($A26,Questions!$A$2:$X$333,15,0)&amp;""))</f>
      </c>
      <c r="F26" s="203">
        <f>VLOOKUP($A26,'Privacy Analyst Evaluation'!$A$46:$F$120,6,0)&amp;""</f>
      </c>
      <c r="H26" s="35"/>
    </row>
    <row r="27" spans="1:8" s="1" customFormat="1" ht="39" customHeight="1" x14ac:dyDescent="0.15">
      <c r="A27" s="19" t="s">
        <v>860</v>
      </c>
      <c r="B27" s="18">
        <f>VLOOKUP($A27,Questions!$A$2:$X$333,2,0)</f>
      </c>
      <c r="C27" s="21" t="s">
        <v>40</v>
      </c>
      <c r="D27" s="320" t="s">
        <v>2054</v>
      </c>
      <c r="E27" s="166">
        <f>IF($C27='Auto Responses'!$J$3,VLOOKUP($A27,Questions!$A$2:$X$333,17,0)&amp;"",IF($C27='Auto Responses'!$J$4,VLOOKUP($A27,Questions!$A$2:$X$333,16,0)&amp;"",VLOOKUP($A27,Questions!$A$2:$X$333,15,0)&amp;""))</f>
      </c>
      <c r="F27" s="203">
        <f>VLOOKUP($A27,'Privacy Analyst Evaluation'!$A$46:$F$120,6,0)&amp;""</f>
      </c>
      <c r="H27" s="35"/>
    </row>
    <row r="28" spans="1:8" s="1" customFormat="1" ht="27.75" customHeight="1" thickBot="1" x14ac:dyDescent="0.2">
      <c r="A28" s="19" t="s">
        <v>861</v>
      </c>
      <c r="B28" s="18">
        <f>VLOOKUP($A28,Questions!$A$2:$X$333,2,0)</f>
      </c>
      <c r="C28" s="329" t="s">
        <v>2055</v>
      </c>
      <c r="D28" s="314"/>
      <c r="E28" s="166" t="str">
        <f>IF($C28='Auto Responses'!$J$3,VLOOKUP($A28,Questions!$A$2:$X$333,17,0)&amp;"",IF($C28='Auto Responses'!$J$4,VLOOKUP($A28,Questions!$A$2:$X$333,16,0)&amp;"",VLOOKUP($A28,Questions!$A$2:$X$333,15,0)&amp;""))</f>
      </c>
      <c r="F28" s="203">
        <f>VLOOKUP($A28,'Privacy Analyst Evaluation'!$A$46:$F$120,6,0)&amp;""</f>
      </c>
      <c r="G28" s="235" t="s">
        <v>1448</v>
      </c>
      <c r="H28" s="35"/>
    </row>
    <row r="29" spans="1:8" s="1" customFormat="1" ht="37.5" customHeight="1" thickBot="1" x14ac:dyDescent="0.2">
      <c r="A29" s="63" t="str">
        <f>VLOOKUP(LEFT($A30,4),'Auto Responses'!$N$4:$O$38,2,0)&amp;""</f>
        <v xml:space="preserve"> Privacy-Specific Company Details</v>
      </c>
      <c r="B29" s="22"/>
      <c r="C29" s="13" t="s">
        <v>1495</v>
      </c>
      <c r="D29" s="13" t="s">
        <v>72</v>
      </c>
      <c r="E29" s="31" t="s">
        <v>848</v>
      </c>
      <c r="F29" s="201" t="s">
        <v>849</v>
      </c>
      <c r="H29" s="35"/>
    </row>
    <row r="30" spans="1:8" s="1" customFormat="1" ht="78" customHeight="1" x14ac:dyDescent="0.15">
      <c r="A30" s="19" t="s">
        <v>697</v>
      </c>
      <c r="B30" s="18">
        <f>VLOOKUP($A30,Questions!$A$2:$X$333,2,0)</f>
      </c>
      <c r="C30" s="21"/>
      <c r="D30" s="320" t="s">
        <v>1952</v>
      </c>
      <c r="E30" s="166">
        <f>IF($C30='Auto Responses'!$J$3,VLOOKUP($A30,Questions!$A$2:$X$333,17,0)&amp;"",IF($C30='Auto Responses'!$J$4,VLOOKUP($A30,Questions!$A$2:$X$333,16,0)&amp;"",VLOOKUP($A30,Questions!$A$2:$X$333,15,0)&amp;""))</f>
      </c>
      <c r="F30" s="203">
        <f>VLOOKUP($A30,'Privacy Analyst Evaluation'!$A$46:$F$120,6,0)&amp;""</f>
      </c>
      <c r="H30" s="35"/>
    </row>
    <row r="31" spans="1:8" s="1" customFormat="1" ht="60.75" customHeight="1" x14ac:dyDescent="0.15">
      <c r="A31" s="19" t="s">
        <v>699</v>
      </c>
      <c r="B31" s="18">
        <f>VLOOKUP($A31,Questions!$A$2:$X$333,2,0)</f>
      </c>
      <c r="C31" s="359" t="s">
        <v>2056</v>
      </c>
      <c r="E31" s="166">
        <f>IF($C31='Auto Responses'!$J$3,VLOOKUP($A31,Questions!$A$2:$X$333,17,0)&amp;"",IF($C31='Auto Responses'!$J$4,VLOOKUP($A31,Questions!$A$2:$X$333,16,0)&amp;"",VLOOKUP($A31,Questions!$A$2:$X$333,15,0)&amp;""))</f>
      </c>
      <c r="F31" s="203">
        <f>VLOOKUP($A31,'Privacy Analyst Evaluation'!$A$46:$F$120,6,0)&amp;""</f>
      </c>
      <c r="H31" s="35"/>
    </row>
    <row r="32" spans="1:8" s="1" customFormat="1" ht="42.75" customHeight="1" x14ac:dyDescent="0.15">
      <c r="A32" s="19" t="s">
        <v>700</v>
      </c>
      <c r="B32" s="18">
        <f>VLOOKUP($A32,Questions!$A$2:$X$333,2,0)</f>
      </c>
      <c r="C32" s="21"/>
      <c r="D32" s="320" t="s">
        <v>1952</v>
      </c>
      <c r="E32" s="166">
        <f>IF($C32='Auto Responses'!$J$3,VLOOKUP($A32,Questions!$A$2:$X$333,17,0)&amp;"",IF($C32='Auto Responses'!$J$4,VLOOKUP($A32,Questions!$A$2:$X$333,16,0)&amp;"",VLOOKUP($A32,Questions!$A$2:$X$333,15,0)&amp;""))</f>
      </c>
      <c r="F32" s="203">
        <f>VLOOKUP($A32,'Privacy Analyst Evaluation'!$A$46:$F$120,6,0)&amp;""</f>
      </c>
      <c r="H32" s="35"/>
    </row>
    <row r="33" spans="1:8" s="1" customFormat="1" ht="46" thickBot="1" x14ac:dyDescent="0.2">
      <c r="A33" s="19" t="s">
        <v>701</v>
      </c>
      <c r="B33" s="18">
        <f>VLOOKUP($A33,Questions!$A$2:$X$333,2,0)</f>
      </c>
      <c r="C33" s="21" t="s">
        <v>148</v>
      </c>
      <c r="D33" s="320"/>
      <c r="E33" s="166" t="str">
        <f>IF($C33='Auto Responses'!$J$3,VLOOKUP($A33,Questions!$A$2:$X$333,17,0)&amp;"",IF($C33='Auto Responses'!$J$4,VLOOKUP($A33,Questions!$A$2:$X$333,16,0)&amp;"",VLOOKUP($A33,Questions!$A$2:$X$333,15,0)&amp;""))</f>
      </c>
      <c r="F33" s="203">
        <f>VLOOKUP($A33,'Privacy Analyst Evaluation'!$A$46:$F$120,6,0)&amp;""</f>
      </c>
      <c r="G33" s="235" t="s">
        <v>1448</v>
      </c>
      <c r="H33" s="35"/>
    </row>
    <row r="34" spans="1:8" s="1" customFormat="1" ht="37.5" customHeight="1" thickBot="1" x14ac:dyDescent="0.2">
      <c r="A34" s="63" t="str">
        <f>VLOOKUP(LEFT($A35,4),'Auto Responses'!$N$4:$O$38,2,0)&amp;""</f>
        <v xml:space="preserve"> Privacy-Specific Documentation</v>
      </c>
      <c r="B34" s="22"/>
      <c r="C34" s="13" t="s">
        <v>1495</v>
      </c>
      <c r="D34" s="13" t="s">
        <v>72</v>
      </c>
      <c r="E34" s="31" t="s">
        <v>848</v>
      </c>
      <c r="F34" s="201" t="s">
        <v>849</v>
      </c>
      <c r="H34" s="35"/>
    </row>
    <row r="35" spans="1:8" s="1" customFormat="1" ht="99.75" customHeight="1" x14ac:dyDescent="0.15">
      <c r="A35" s="19" t="s">
        <v>702</v>
      </c>
      <c r="B35" s="18">
        <f>VLOOKUP($A35,Questions!$A$2:$X$333,2,0)</f>
      </c>
      <c r="C35" s="21" t="s">
        <v>1525</v>
      </c>
      <c r="D35" s="320" t="s">
        <v>2057</v>
      </c>
      <c r="E35" s="166">
        <f>IF($C35='Auto Responses'!$J$3,VLOOKUP($A35,Questions!$A$2:$X$333,17,0)&amp;"",IF($C35='Auto Responses'!$J$4,VLOOKUP($A35,Questions!$A$2:$X$333,16,0)&amp;"",IF($C35='Auto Responses'!$J$5,VLOOKUP($A35,Questions!$A$2:$X$333,18,0)&amp;"",VLOOKUP($A35,Questions!$A$2:$X$333,15,0)&amp;"")))</f>
      </c>
      <c r="F35" s="203">
        <f>VLOOKUP($A35,'Privacy Analyst Evaluation'!$A$46:$F$120,6,0)&amp;""</f>
      </c>
      <c r="H35" s="35"/>
    </row>
    <row r="36" spans="1:8" s="1" customFormat="1" ht="75" x14ac:dyDescent="0.15">
      <c r="A36" s="19" t="s">
        <v>703</v>
      </c>
      <c r="B36" s="18">
        <f>VLOOKUP($A36,Questions!$A$2:$X$333,2,0)</f>
      </c>
      <c r="C36" s="21" t="inlineStr">
        <is>
          <t xml:space="preserve">No</t>
        </is>
      </c>
      <c r="D36" s="320" t="inlineStr">
        <is>
          <t xml:space="preserve">No formal conformance claim. The Privacy Program and DPIA follow FERPA requirements and the principles of the NIST Privacy Framework.</t>
        </is>
      </c>
      <c r="E36" s="166">
        <f>IF($C36='Auto Responses'!$J$3,VLOOKUP($A36,Questions!$A$2:$X$333,17,0)&amp;"",IF($C36='Auto Responses'!$J$4,VLOOKUP($A36,Questions!$A$2:$X$333,16,0)&amp;"",IF($C36='Auto Responses'!$J$5,VLOOKUP($A36,Questions!$A$2:$X$333,18,0)&amp;"",VLOOKUP($A36,Questions!$A$2:$X$333,15,0)&amp;"")))</f>
      </c>
      <c r="F36" s="203">
        <f>VLOOKUP($A36,'Privacy Analyst Evaluation'!$A$46:$F$120,6,0)&amp;""</f>
      </c>
      <c r="H36" s="35"/>
    </row>
    <row r="37" spans="1:8" s="1" customFormat="1" ht="40.5" customHeight="1" thickBot="1" x14ac:dyDescent="0.2">
      <c r="A37" s="19" t="s">
        <v>704</v>
      </c>
      <c r="B37" s="18">
        <f>VLOOKUP($A37,Questions!$A$2:$X$333,2,0)</f>
      </c>
      <c r="C37" s="21" t="inlineStr">
        <is>
          <t xml:space="preserve">Yes</t>
        </is>
      </c>
      <c r="D37" s="320" t="inlineStr">
        <is>
          <t xml:space="preserve">Onboarding includes mandatory security and privacy training before access is granted (Information Security Policy §8–9, Privacy Program §8).</t>
        </is>
      </c>
      <c r="E37" s="166">
        <f>IF($C37='Auto Responses'!$J$3,VLOOKUP($A37,Questions!$A$2:$X$333,17,0)&amp;"",IF($C37='Auto Responses'!$J$4,VLOOKUP($A37,Questions!$A$2:$X$333,16,0)&amp;"",IF($C37='Auto Responses'!$J$5,VLOOKUP($A37,Questions!$A$2:$X$333,18,0)&amp;"",VLOOKUP($A37,Questions!$A$2:$X$333,15,0)&amp;"")))</f>
      </c>
      <c r="F37" s="203">
        <f>VLOOKUP($A37,'Privacy Analyst Evaluation'!$A$46:$F$120,6,0)&amp;""</f>
      </c>
      <c r="G37" s="235" t="s">
        <v>1448</v>
      </c>
      <c r="H37" s="35"/>
    </row>
    <row r="38" spans="1:8" s="1" customFormat="1" ht="37.5" customHeight="1" thickBot="1" x14ac:dyDescent="0.2">
      <c r="A38" s="63" t="str">
        <f>VLOOKUP(LEFT($A39,4),'Auto Responses'!$N$4:$O$38,2,0)&amp;""</f>
        <v xml:space="preserve"> Privacy of Third Parties</v>
      </c>
      <c r="B38" s="22"/>
      <c r="C38" s="13" t="s">
        <v>1495</v>
      </c>
      <c r="D38" s="13" t="s">
        <v>72</v>
      </c>
      <c r="E38" s="31" t="s">
        <v>848</v>
      </c>
      <c r="F38" s="201" t="s">
        <v>849</v>
      </c>
      <c r="H38" s="35"/>
    </row>
    <row r="39" spans="1:8" s="1" customFormat="1" ht="165" x14ac:dyDescent="0.15">
      <c r="A39" s="19" t="s">
        <v>706</v>
      </c>
      <c r="B39" s="18">
        <f>VLOOKUP($A39,Questions!$A$2:$X$333,2,0)</f>
      </c>
      <c r="C39" s="21" t="s">
        <v>40</v>
      </c>
      <c r="D39" s="320" t="s">
        <v>2058</v>
      </c>
      <c r="E39" s="166">
        <f>IF($C39='Auto Responses'!$J$3,VLOOKUP($A39,Questions!$A$2:$X$333,17,0)&amp;"",IF($C39='Auto Responses'!$J$4,VLOOKUP($A39,Questions!$A$2:$X$333,16,0)&amp;"",IF($C39='Auto Responses'!$J$5,VLOOKUP($A39,Questions!$A$2:$X$333,18,0)&amp;"",VLOOKUP($A39,Questions!$A$2:$X$333,15,0)&amp;"")))</f>
      </c>
      <c r="F39" s="203">
        <f>VLOOKUP($A39,'Privacy Analyst Evaluation'!$A$46:$F$120,6,0)&amp;""</f>
      </c>
      <c r="H39" s="35"/>
    </row>
    <row r="40" spans="1:8" s="1" customFormat="1" ht="91" thickBot="1" x14ac:dyDescent="0.2">
      <c r="A40" s="19" t="s">
        <v>708</v>
      </c>
      <c r="B40" s="18">
        <f>VLOOKUP($A40,Questions!$A$2:$X$333,2,0)</f>
      </c>
      <c r="C40" s="21" t="inlineStr">
        <is>
          <t xml:space="preserve">Yes</t>
        </is>
      </c>
      <c r="D40" s="320" t="inlineStr">
        <is>
          <t xml:space="preserve">Vendors receiving personal data get a privacy impact check (purpose limitation, no selling/advertising/model training, deletion support, FERPA school-official conditions) before onboarding and annually (Vendor Management policy).</t>
        </is>
      </c>
      <c r="E40" s="166">
        <f>IF($C40='Auto Responses'!$J$3,VLOOKUP($A40,Questions!$A$2:$X$333,17,0)&amp;"",IF($C40='Auto Responses'!$J$4,VLOOKUP($A40,Questions!$A$2:$X$333,16,0)&amp;"",IF($C40='Auto Responses'!$J$5,VLOOKUP($A40,Questions!$A$2:$X$333,18,0)&amp;"",VLOOKUP($A40,Questions!$A$2:$X$333,15,0)&amp;"")))</f>
      </c>
      <c r="F40" s="203">
        <f>VLOOKUP($A40,'Privacy Analyst Evaluation'!$A$46:$F$120,6,0)&amp;""</f>
      </c>
      <c r="G40" s="235" t="s">
        <v>1448</v>
      </c>
      <c r="H40" s="35"/>
    </row>
    <row r="41" spans="1:8" s="1" customFormat="1" ht="37.5" customHeight="1" thickBot="1" x14ac:dyDescent="0.2">
      <c r="A41" s="63" t="str">
        <f>VLOOKUP(LEFT($A42,4),'Auto Responses'!$N$4:$O$38,2,0)&amp;""</f>
        <v xml:space="preserve"> Privacy Change Management</v>
      </c>
      <c r="B41" s="22"/>
      <c r="C41" s="13" t="s">
        <v>1495</v>
      </c>
      <c r="D41" s="13" t="s">
        <v>72</v>
      </c>
      <c r="E41" s="31" t="s">
        <v>848</v>
      </c>
      <c r="F41" s="201" t="s">
        <v>849</v>
      </c>
      <c r="H41" s="35"/>
    </row>
    <row r="42" spans="1:8" s="1" customFormat="1" ht="30" x14ac:dyDescent="0.15">
      <c r="A42" s="19" t="s">
        <v>709</v>
      </c>
      <c r="B42" s="18">
        <f>VLOOKUP($A42,Questions!$A$2:$X$333,2,0)</f>
      </c>
      <c r="C42" s="21" t="inlineStr">
        <is>
          <t xml:space="preserve">Yes</t>
        </is>
      </c>
      <c r="D42" s="320" t="inlineStr">
        <is>
          <t xml:space="preserve">Pull requests that affect personal data require a documented privacy review; high-impact changes require Privacy Officer approval (Privacy Program §3, Change and Patch Management §1).</t>
        </is>
      </c>
      <c r="E42" s="166">
        <f>IF($C42='Auto Responses'!$J$3,VLOOKUP($A42,Questions!$A$2:$X$333,17,0)&amp;"",IF($C42='Auto Responses'!$J$4,VLOOKUP($A42,Questions!$A$2:$X$333,16,0)&amp;"",VLOOKUP($A42,Questions!$A$2:$X$333,15,0)&amp;""))</f>
      </c>
      <c r="F42" s="203">
        <f>VLOOKUP($A42,'Privacy Analyst Evaluation'!$A$46:$F$120,6,0)&amp;""</f>
      </c>
      <c r="H42" s="35"/>
    </row>
    <row r="43" spans="1:8" s="1" customFormat="1" ht="46.5" customHeight="1" thickBot="1" x14ac:dyDescent="0.2">
      <c r="A43" s="19" t="s">
        <v>711</v>
      </c>
      <c r="B43" s="18">
        <f>VLOOKUP($A43,Questions!$A$2:$X$333,2,0)</f>
      </c>
      <c r="C43" s="21" t="inlineStr">
        <is>
          <t xml:space="preserve">Yes</t>
        </is>
      </c>
      <c r="D43" s="320" t="inlineStr">
        <is>
          <t xml:space="preserve">Privacy Program §4: privacy gaps are logged, interim mitigations applied within 7 days, high-risk gaps resolved within 30 days.</t>
        </is>
      </c>
      <c r="E43" s="166">
        <f>IF($C43='Auto Responses'!$J$3,VLOOKUP($A43,Questions!$A$2:$X$333,17,0)&amp;"",IF($C43='Auto Responses'!$J$4,VLOOKUP($A43,Questions!$A$2:$X$333,16,0)&amp;"",VLOOKUP($A43,Questions!$A$2:$X$333,15,0)&amp;""))</f>
      </c>
      <c r="F43" s="203">
        <f>VLOOKUP($A43,'Privacy Analyst Evaluation'!$A$46:$F$120,6,0)&amp;""</f>
      </c>
      <c r="G43" s="235" t="s">
        <v>1448</v>
      </c>
      <c r="H43" s="35"/>
    </row>
    <row r="44" spans="1:8" s="1" customFormat="1" ht="37.5" customHeight="1" thickBot="1" x14ac:dyDescent="0.2">
      <c r="A44" s="63" t="str">
        <f>VLOOKUP(LEFT($A45,4),'Auto Responses'!$N$4:$O$38,2,0)&amp;""</f>
        <v xml:space="preserve"> Privacy of Sensitive Data</v>
      </c>
      <c r="B44" s="22"/>
      <c r="C44" s="13" t="s">
        <v>1495</v>
      </c>
      <c r="D44" s="13" t="s">
        <v>72</v>
      </c>
      <c r="E44" s="31" t="s">
        <v>848</v>
      </c>
      <c r="F44" s="201" t="s">
        <v>849</v>
      </c>
      <c r="H44" s="35"/>
    </row>
    <row r="45" spans="1:8" s="1" customFormat="1" ht="192.75" customHeight="1" x14ac:dyDescent="0.15">
      <c r="A45" s="19" t="s">
        <v>713</v>
      </c>
      <c r="B45" s="18">
        <f>VLOOKUP($A45,Questions!$A$2:$X$333,2,0)</f>
      </c>
      <c r="C45" s="21" t="s">
        <v>148</v>
      </c>
      <c r="D45" s="320" t="s">
        <v>2059</v>
      </c>
      <c r="E45" s="166">
        <f>IF($C45='Auto Responses'!$J$3,VLOOKUP($A45,Questions!$A$2:$X$333,17,0)&amp;"",IF($C45='Auto Responses'!$J$4,VLOOKUP($A45,Questions!$A$2:$X$333,16,0)&amp;"",VLOOKUP($A45,Questions!$A$2:$X$333,15,0)&amp;""))</f>
      </c>
      <c r="F45" s="203">
        <f>VLOOKUP($A45,'Privacy Analyst Evaluation'!$A$46:$F$120,6,0)&amp;""</f>
      </c>
      <c r="H45" s="35"/>
    </row>
    <row r="46" spans="1:8" s="1" customFormat="1" ht="225" x14ac:dyDescent="0.15">
      <c r="A46" s="19" t="s">
        <v>715</v>
      </c>
      <c r="B46" s="18">
        <f>VLOOKUP($A46,Questions!$A$2:$X$333,2,0)</f>
      </c>
      <c r="C46" s="21" t="s">
        <v>148</v>
      </c>
      <c r="D46" s="320"/>
      <c r="E46" s="166"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3">
        <f>VLOOKUP($A46,'Privacy Analyst Evaluation'!$A$46:$F$120,6,0)&amp;""</f>
      </c>
      <c r="H46" s="35"/>
    </row>
    <row r="47" spans="1:8" s="1" customFormat="1" ht="150" x14ac:dyDescent="0.15">
      <c r="A47" s="19" t="s">
        <v>717</v>
      </c>
      <c r="B47" s="18">
        <f>VLOOKUP($A47,Questions!$A$2:$X$333,2,0)</f>
      </c>
      <c r="C47" s="21" t="s">
        <v>148</v>
      </c>
      <c r="D47" s="320"/>
      <c r="E47" s="166" t="str">
        <f>IF($C47='Auto Responses'!$J$3,VLOOKUP($A47,Questions!$A$2:$X$333,17,0)&amp;"",IF($C47='Auto Responses'!$J$4,VLOOKUP($A47,Questions!$A$2:$X$333,16,0)&amp;"",VLOOKUP($A47,Questions!$A$2:$X$333,15,0)&amp;""))</f>
      </c>
      <c r="F47" s="203">
        <f>VLOOKUP($A47,'Privacy Analyst Evaluation'!$A$46:$F$120,6,0)&amp;""</f>
      </c>
      <c r="H47" s="35"/>
    </row>
    <row r="48" spans="1:8" s="1" customFormat="1" ht="120" x14ac:dyDescent="0.15">
      <c r="A48" s="19" t="s">
        <v>718</v>
      </c>
      <c r="B48" s="18">
        <f>VLOOKUP($A48,Questions!$A$2:$X$333,2,0)</f>
      </c>
      <c r="C48" s="21" t="s">
        <v>148</v>
      </c>
      <c r="D48" s="320" t="s">
        <v>2060</v>
      </c>
      <c r="E48" s="166">
        <f>IF($C48='Auto Responses'!$J$3,VLOOKUP($A48,Questions!$A$2:$X$333,17,0)&amp;"",IF($C48='Auto Responses'!$J$4,VLOOKUP($A48,Questions!$A$2:$X$333,16,0)&amp;"",VLOOKUP($A48,Questions!$A$2:$X$333,15,0)&amp;""))</f>
      </c>
      <c r="F48" s="203">
        <f>VLOOKUP($A48,'Privacy Analyst Evaluation'!$A$46:$F$120,6,0)&amp;""</f>
      </c>
      <c r="H48" s="35"/>
    </row>
    <row r="49" spans="1:8" s="1" customFormat="1" ht="30" x14ac:dyDescent="0.15">
      <c r="A49" s="19" t="s">
        <v>719</v>
      </c>
      <c r="B49" s="18">
        <f>VLOOKUP($A49,Questions!$A$2:$X$333,2,0)</f>
      </c>
      <c r="C49" s="21" t="s">
        <v>40</v>
      </c>
      <c r="D49" s="320" t="s">
        <v>2061</v>
      </c>
      <c r="E49" s="166">
        <f>IF($C49='Auto Responses'!$J$3,VLOOKUP($A49,Questions!$A$2:$X$333,17,0)&amp;"",IF($C49='Auto Responses'!$J$4,VLOOKUP($A49,Questions!$A$2:$X$333,16,0)&amp;"",VLOOKUP($A49,Questions!$A$2:$X$333,15,0)&amp;""))</f>
      </c>
      <c r="F49" s="203">
        <f>VLOOKUP($A49,'Privacy Analyst Evaluation'!$A$46:$F$120,6,0)&amp;""</f>
      </c>
      <c r="H49" s="35"/>
    </row>
    <row r="50" spans="1:8" s="1" customFormat="1" ht="49.5" customHeight="1" x14ac:dyDescent="0.15">
      <c r="A50" s="19" t="s">
        <v>720</v>
      </c>
      <c r="B50" s="18">
        <f>VLOOKUP($A50,Questions!$A$2:$X$333,2,0)</f>
      </c>
      <c r="C50" s="21" t="s">
        <v>40</v>
      </c>
      <c r="D50" s="320" t="s">
        <v>2062</v>
      </c>
      <c r="E50" s="166">
        <f>IF($C50='Auto Responses'!$J$3,VLOOKUP($A50,Questions!$A$2:$X$333,17,0)&amp;"",IF($C50='Auto Responses'!$J$4,VLOOKUP($A50,Questions!$A$2:$X$333,16,0)&amp;"",VLOOKUP($A50,Questions!$A$2:$X$333,15,0)&amp;""))</f>
      </c>
      <c r="F50" s="203">
        <f>VLOOKUP($A50,'Privacy Analyst Evaluation'!$A$46:$F$120,6,0)&amp;""</f>
      </c>
      <c r="H50" s="35"/>
    </row>
    <row r="51" spans="1:8" s="1" customFormat="1" ht="44.25" customHeight="1" x14ac:dyDescent="0.15">
      <c r="A51" s="19" t="s">
        <v>721</v>
      </c>
      <c r="B51" s="18">
        <f>VLOOKUP($A51,Questions!$A$2:$X$333,2,0)</f>
      </c>
      <c r="C51" s="21" t="s">
        <v>40</v>
      </c>
      <c r="D51" s="320" t="s">
        <v>2063</v>
      </c>
      <c r="E51" s="166">
        <f>IF($C51='Auto Responses'!$J$3,VLOOKUP($A51,Questions!$A$2:$X$333,17,0)&amp;"",IF($C51='Auto Responses'!$J$4,VLOOKUP($A51,Questions!$A$2:$X$333,16,0)&amp;"",VLOOKUP($A51,Questions!$A$2:$X$333,15,0)&amp;""))</f>
      </c>
      <c r="F51" s="203">
        <f>VLOOKUP($A51,'Privacy Analyst Evaluation'!$A$46:$F$120,6,0)&amp;""</f>
      </c>
      <c r="H51" s="35"/>
    </row>
    <row r="52" spans="1:8" s="1" customFormat="1" ht="52.5" customHeight="1" thickBot="1" x14ac:dyDescent="0.2">
      <c r="A52" s="19" t="s">
        <v>723</v>
      </c>
      <c r="B52" s="18">
        <f>VLOOKUP($A52,Questions!$A$2:$X$333,2,0)</f>
      </c>
      <c r="C52" s="21" t="s">
        <v>40</v>
      </c>
      <c r="D52" s="320"/>
      <c r="E52" s="166" t="str">
        <f>IF($C52='Auto Responses'!$J$3,VLOOKUP($A52,Questions!$A$2:$X$333,17,0)&amp;"",IF($C52='Auto Responses'!$J$4,VLOOKUP($A52,Questions!$A$2:$X$333,16,0)&amp;"",VLOOKUP($A52,Questions!$A$2:$X$333,15,0)&amp;""))</f>
      </c>
      <c r="F52" s="203">
        <f>VLOOKUP($A52,'Privacy Analyst Evaluation'!$A$46:$F$120,6,0)&amp;""</f>
      </c>
      <c r="G52" s="235" t="s">
        <v>1448</v>
      </c>
      <c r="H52" s="35"/>
    </row>
    <row r="53" spans="1:8" s="1" customFormat="1" ht="37.5" customHeight="1" thickBot="1" x14ac:dyDescent="0.2">
      <c r="A53" s="63" t="str">
        <f>VLOOKUP(LEFT($A54,4),'Auto Responses'!$N$4:$O$38,2,0)&amp;""</f>
        <v xml:space="preserve"> Privacy Policies and Procedures</v>
      </c>
      <c r="B53" s="22"/>
      <c r="C53" s="13" t="s">
        <v>1495</v>
      </c>
      <c r="D53" s="13" t="s">
        <v>72</v>
      </c>
      <c r="E53" s="31" t="s">
        <v>848</v>
      </c>
      <c r="F53" s="201" t="s">
        <v>849</v>
      </c>
      <c r="H53" s="35"/>
    </row>
    <row r="54" spans="1:8" s="1" customFormat="1" ht="26.25" customHeight="1" x14ac:dyDescent="0.15">
      <c r="A54" s="19" t="s">
        <v>724</v>
      </c>
      <c r="B54" s="18">
        <f>VLOOKUP($A54,Questions!$A$2:$X$333,2,0)</f>
      </c>
      <c r="C54" s="21" t="inlineStr">
        <is>
          <t xml:space="preserve">Yes</t>
        </is>
      </c>
      <c r="D54" s="320" t="inlineStr">
        <is>
          <t xml:space="preserve">Edugator internal policies (available on request): Privacy Program, owned by the Privacy Officer (Marc Diaz, Founder), reviewed annually.</t>
        </is>
      </c>
      <c r="E54" s="166">
        <f>IF($C54='Auto Responses'!$J$3,VLOOKUP($A54,Questions!$A$2:$X$333,17,0)&amp;"",IF($C54='Auto Responses'!$J$4,VLOOKUP($A54,Questions!$A$2:$X$333,16,0)&amp;"",VLOOKUP($A54,Questions!$A$2:$X$333,15,0)&amp;""))</f>
      </c>
      <c r="F54" s="203">
        <f>VLOOKUP($A54,'Privacy Analyst Evaluation'!$A$46:$F$120,6,0)&amp;""</f>
      </c>
      <c r="H54" s="35"/>
    </row>
    <row r="55" spans="1:8" s="1" customFormat="1" ht="40.5" customHeight="1" x14ac:dyDescent="0.15">
      <c r="A55" s="19" t="s">
        <v>727</v>
      </c>
      <c r="B55" s="18">
        <f>VLOOKUP($A55,Questions!$A$2:$X$333,2,0)</f>
      </c>
      <c r="C55" s="21" t="inlineStr">
        <is>
          <t xml:space="preserve">Yes</t>
        </is>
      </c>
      <c r="D55" s="320" t="inlineStr">
        <is>
          <t xml:space="preserve">Privacy review is required on pull requests that touch personal data, vendors, analytics, logging, retention or AI (Privacy Program §3).</t>
        </is>
      </c>
      <c r="E55" s="166">
        <f>IF($C55='Auto Responses'!$J$3,VLOOKUP($A55,Questions!$A$2:$X$333,17,0)&amp;"",IF($C55='Auto Responses'!$J$4,VLOOKUP($A55,Questions!$A$2:$X$333,16,0)&amp;"",VLOOKUP($A55,Questions!$A$2:$X$333,15,0)&amp;""))</f>
      </c>
      <c r="F55" s="203">
        <f>VLOOKUP($A55,'Privacy Analyst Evaluation'!$A$46:$F$120,6,0)&amp;""</f>
      </c>
      <c r="H55" s="35"/>
    </row>
    <row r="56" spans="1:8" s="1" customFormat="1" ht="33" customHeight="1" x14ac:dyDescent="0.15">
      <c r="A56" s="19" t="s">
        <v>730</v>
      </c>
      <c r="B56" s="18">
        <f>VLOOKUP($A56,Questions!$A$2:$X$333,2,0)</f>
      </c>
      <c r="C56" s="21" t="s">
        <v>40</v>
      </c>
      <c r="D56" s="320"/>
      <c r="E56" s="166" t="str">
        <f>IF($C56='Auto Responses'!$J$3,VLOOKUP($A56,Questions!$A$2:$X$333,17,0)&amp;"",IF($C56='Auto Responses'!$J$4,VLOOKUP($A56,Questions!$A$2:$X$333,16,0)&amp;"",VLOOKUP($A56,Questions!$A$2:$X$333,15,0)&amp;""))</f>
      </c>
      <c r="F56" s="203">
        <f>VLOOKUP($A56,'Privacy Analyst Evaluation'!$A$46:$F$120,6,0)&amp;""</f>
      </c>
      <c r="H56" s="35"/>
    </row>
    <row r="57" spans="1:8" s="1" customFormat="1" ht="39.75" customHeight="1" x14ac:dyDescent="0.15">
      <c r="A57" s="19" t="s">
        <v>732</v>
      </c>
      <c r="B57" s="18">
        <f>VLOOKUP($A57,Questions!$A$2:$X$333,2,0)</f>
      </c>
      <c r="C57" s="21" t="s">
        <v>40</v>
      </c>
      <c r="D57" s="320"/>
      <c r="E57" s="166" t="str">
        <f>IF($C57='Auto Responses'!$J$3,VLOOKUP($A57,Questions!$A$2:$X$333,17,0)&amp;"",IF($C57='Auto Responses'!$J$4,VLOOKUP($A57,Questions!$A$2:$X$333,16,0)&amp;"",VLOOKUP($A57,Questions!$A$2:$X$333,15,0)&amp;""))</f>
      </c>
      <c r="F57" s="203">
        <f>VLOOKUP($A57,'Privacy Analyst Evaluation'!$A$46:$F$120,6,0)&amp;""</f>
      </c>
      <c r="H57" s="35"/>
    </row>
    <row r="58" spans="1:8" s="1" customFormat="1" ht="30" x14ac:dyDescent="0.15">
      <c r="A58" s="19" t="s">
        <v>734</v>
      </c>
      <c r="B58" s="18">
        <f>VLOOKUP($A58,Questions!$A$2:$X$333,2,0)</f>
      </c>
      <c r="C58" s="21" t="s">
        <v>40</v>
      </c>
      <c r="D58" s="320"/>
      <c r="E58" s="166" t="str">
        <f>IF($C58='Auto Responses'!$J$3,VLOOKUP($A58,Questions!$A$2:$X$333,17,0)&amp;"",IF($C58='Auto Responses'!$J$4,VLOOKUP($A58,Questions!$A$2:$X$333,16,0)&amp;"",VLOOKUP($A58,Questions!$A$2:$X$333,15,0)&amp;""))</f>
      </c>
      <c r="F58" s="203">
        <f>VLOOKUP($A58,'Privacy Analyst Evaluation'!$A$46:$F$120,6,0)&amp;""</f>
      </c>
      <c r="H58" s="35"/>
    </row>
    <row r="59" spans="1:8" s="1" customFormat="1" ht="45" x14ac:dyDescent="0.15">
      <c r="A59" s="19" t="s">
        <v>736</v>
      </c>
      <c r="B59" s="18">
        <f>VLOOKUP($A59,Questions!$A$2:$X$333,2,0)</f>
      </c>
      <c r="C59" s="21" t="inlineStr">
        <is>
          <t xml:space="preserve">Yes</t>
        </is>
      </c>
      <c r="D59" s="320" t="inlineStr">
        <is>
          <t xml:space="preserve">Privacy training (FERPA, data minimization, request handling, responsible AI) is part of mandatory onboarding and annual training (Privacy Program §8).</t>
        </is>
      </c>
      <c r="E59" s="166">
        <f>IF($C59='Auto Responses'!$J$3,VLOOKUP($A59,Questions!$A$2:$X$333,17,0)&amp;"",IF($C59='Auto Responses'!$J$4,VLOOKUP($A59,Questions!$A$2:$X$333,16,0)&amp;"",VLOOKUP($A59,Questions!$A$2:$X$333,15,0)&amp;""))</f>
      </c>
      <c r="F59" s="203">
        <f>VLOOKUP($A59,'Privacy Analyst Evaluation'!$A$46:$F$120,6,0)&amp;""</f>
      </c>
      <c r="H59" s="35"/>
    </row>
    <row r="60" spans="1:8" s="1" customFormat="1" ht="29.25" customHeight="1" x14ac:dyDescent="0.15">
      <c r="A60" s="19" t="s">
        <v>737</v>
      </c>
      <c r="B60" s="18">
        <f>VLOOKUP($A60,Questions!$A$2:$X$333,2,0)</f>
      </c>
      <c r="C60" s="21" t="inlineStr">
        <is>
          <t xml:space="preserve">Yes</t>
        </is>
      </c>
      <c r="D60" s="320" t="inlineStr">
        <is>
          <t xml:space="preserve">Mandatory for all team members at onboarding and annually.</t>
        </is>
      </c>
      <c r="E60" s="166">
        <f>IF($C60='Auto Responses'!$J$3,VLOOKUP($A60,Questions!$A$2:$X$333,17,0)&amp;"",IF($C60='Auto Responses'!$J$4,VLOOKUP($A60,Questions!$A$2:$X$333,16,0)&amp;"",VLOOKUP($A60,Questions!$A$2:$X$333,15,0)&amp;""))</f>
      </c>
      <c r="F60" s="203">
        <f>VLOOKUP($A60,'Privacy Analyst Evaluation'!$A$46:$F$120,6,0)&amp;""</f>
      </c>
      <c r="H60" s="35"/>
    </row>
    <row r="61" spans="1:8" s="1" customFormat="1" ht="39.75" customHeight="1" x14ac:dyDescent="0.15">
      <c r="A61" s="19" t="s">
        <v>740</v>
      </c>
      <c r="B61" s="18">
        <f>VLOOKUP($A61,Questions!$A$2:$X$333,2,0)</f>
      </c>
      <c r="C61" s="21" t="inlineStr">
        <is>
          <t xml:space="preserve">Yes</t>
        </is>
      </c>
      <c r="D61" s="320" t="inlineStr">
        <is>
          <t xml:space="preserve">AI privacy and ethics training is required for all team members as part of annual training (Privacy Program §8, AI Risk Assessment §1).</t>
        </is>
      </c>
      <c r="E61" s="166">
        <f>IF($C61='Auto Responses'!$J$3,VLOOKUP($A61,Questions!$A$2:$X$333,17,0)&amp;"",IF($C61='Auto Responses'!$J$4,VLOOKUP($A61,Questions!$A$2:$X$333,16,0)&amp;"",IF($C61='Auto Responses'!$J$5,VLOOKUP($A61,Questions!$A$2:$X$333,18,0)&amp;"",VLOOKUP($A61,Questions!$A$2:$X$333,15,0)&amp;"")))</f>
      </c>
      <c r="F61" s="203">
        <f>VLOOKUP($A61,'Privacy Analyst Evaluation'!$A$46:$F$120,6,0)&amp;""</f>
      </c>
      <c r="H61" s="35"/>
    </row>
    <row r="62" spans="1:8" s="1" customFormat="1" ht="30" x14ac:dyDescent="0.15">
      <c r="A62" s="19" t="s">
        <v>743</v>
      </c>
      <c r="B62" s="18">
        <f>VLOOKUP($A62,Questions!$A$2:$X$333,2,0)</f>
      </c>
      <c r="C62" s="21" t="s">
        <v>40</v>
      </c>
      <c r="D62" s="320" t="s">
        <v>2064</v>
      </c>
      <c r="E62" s="166">
        <f>IF($C62='Auto Responses'!$J$3,VLOOKUP($A62,Questions!$A$2:$X$333,17,0)&amp;"",IF($C62='Auto Responses'!$J$4,VLOOKUP($A62,Questions!$A$2:$X$333,16,0)&amp;"",VLOOKUP($A62,Questions!$A$2:$X$333,15,0)&amp;""))</f>
      </c>
      <c r="F62" s="203">
        <f>VLOOKUP($A62,'Privacy Analyst Evaluation'!$A$46:$F$120,6,0)&amp;""</f>
      </c>
      <c r="H62" s="35"/>
    </row>
    <row r="63" spans="1:8" s="1" customFormat="1" ht="54" customHeight="1" x14ac:dyDescent="0.15">
      <c r="A63" s="19" t="s">
        <v>744</v>
      </c>
      <c r="B63" s="18">
        <f>VLOOKUP($A63,Questions!$A$2:$X$333,2,0)</f>
      </c>
      <c r="C63" s="21" t="inlineStr">
        <is>
          <t xml:space="preserve">Yes</t>
        </is>
      </c>
      <c r="D63" s="320" t="inlineStr">
        <is>
          <t xml:space="preserve">Privacy Program §5 documents handling of data subject requests (routed through the institution under FERPA, completed within 30 days) and of automated processing (autograding with instructor override; AI monitored under the AI Risk Assessment).</t>
        </is>
      </c>
      <c r="E63" s="166">
        <f>IF($C63='Auto Responses'!$J$3,VLOOKUP($A63,Questions!$A$2:$X$333,17,0)&amp;"",IF($C63='Auto Responses'!$J$4,VLOOKUP($A63,Questions!$A$2:$X$333,16,0)&amp;"",IF($C63='Auto Responses'!$J$5,VLOOKUP($A63,Questions!$A$2:$X$333,18,0)&amp;"",VLOOKUP($A63,Questions!$A$2:$X$333,15,0)&amp;"")))</f>
      </c>
      <c r="F63" s="203">
        <f>VLOOKUP($A63,'Privacy Analyst Evaluation'!$A$46:$F$120,6,0)&amp;""</f>
      </c>
      <c r="H63" s="35"/>
    </row>
    <row r="64" spans="1:8" s="1" customFormat="1" ht="40.5" customHeight="1" x14ac:dyDescent="0.15">
      <c r="A64" s="19" t="s">
        <v>746</v>
      </c>
      <c r="B64" s="18">
        <f>VLOOKUP($A64,Questions!$A$2:$X$333,2,0)</f>
      </c>
      <c r="C64" s="21" t="inlineStr">
        <is>
          <t xml:space="preserve">Yes</t>
        </is>
      </c>
      <c r="D64" s="320" t="inlineStr">
        <is>
          <t xml:space="preserve">Privacy Program §7: disclosure only under valid subpoena, court order or warrant; prior notice to the institution unless legally prohibited; minimum necessary disclosure; all requests logged.</t>
        </is>
      </c>
      <c r="E64" s="166">
        <f>IF($C64='Auto Responses'!$J$3,VLOOKUP($A64,Questions!$A$2:$X$333,17,0)&amp;"",IF($C64='Auto Responses'!$J$4,VLOOKUP($A64,Questions!$A$2:$X$333,16,0)&amp;"",VLOOKUP($A64,Questions!$A$2:$X$333,15,0)&amp;""))</f>
      </c>
      <c r="F64" s="203">
        <f>VLOOKUP($A64,'Privacy Analyst Evaluation'!$A$46:$F$120,6,0)&amp;""</f>
      </c>
      <c r="H64" s="35"/>
    </row>
    <row r="65" spans="1:8" s="1" customFormat="1" ht="39.75" customHeight="1" x14ac:dyDescent="0.15">
      <c r="A65" s="19" t="s">
        <v>749</v>
      </c>
      <c r="B65" s="18">
        <f>VLOOKUP($A65,Questions!$A$2:$X$333,2,0)</f>
      </c>
      <c r="C65" s="21" t="s">
        <v>148</v>
      </c>
      <c r="D65" s="320"/>
      <c r="E65" s="166" t="str">
        <f>IF($C65='Auto Responses'!$J$3,VLOOKUP($A65,Questions!$A$2:$X$333,17,0)&amp;"",IF($C65='Auto Responses'!$J$4,VLOOKUP($A65,Questions!$A$2:$X$333,16,0)&amp;"",VLOOKUP($A65,Questions!$A$2:$X$333,15,0)&amp;""))</f>
      </c>
      <c r="F65" s="203">
        <f>VLOOKUP($A65,'Privacy Analyst Evaluation'!$A$46:$F$120,6,0)&amp;""</f>
      </c>
      <c r="H65" s="35"/>
    </row>
    <row r="66" spans="1:8" s="1" customFormat="1" ht="26.25" customHeight="1" thickBot="1" x14ac:dyDescent="0.2">
      <c r="A66" s="19" t="s">
        <v>750</v>
      </c>
      <c r="B66" s="18">
        <f>VLOOKUP($A66,Questions!$A$2:$X$333,2,0)</f>
      </c>
      <c r="C66" s="21" t="inlineStr">
        <is>
          <t xml:space="preserve">Yes</t>
        </is>
      </c>
      <c r="D66" s="320" t="inlineStr">
        <is>
          <t xml:space="preserve">The Privacy Officer (Marc Diaz, Founder) is part of every incident response.</t>
        </is>
      </c>
      <c r="E66" s="166">
        <f>IF($C66='Auto Responses'!$J$3,VLOOKUP($A66,Questions!$A$2:$X$333,17,0)&amp;"",IF($C66='Auto Responses'!$J$4,VLOOKUP($A66,Questions!$A$2:$X$333,16,0)&amp;"",VLOOKUP($A66,Questions!$A$2:$X$333,15,0)&amp;""))</f>
      </c>
      <c r="F66" s="203">
        <f>VLOOKUP($A66,'Privacy Analyst Evaluation'!$A$46:$F$120,6,0)&amp;""</f>
      </c>
      <c r="G66" s="235" t="s">
        <v>1448</v>
      </c>
      <c r="H66" s="35"/>
    </row>
    <row r="67" spans="1:8" s="1" customFormat="1" ht="37.5" customHeight="1" thickBot="1" x14ac:dyDescent="0.2">
      <c r="A67" s="63" t="str">
        <f>VLOOKUP(LEFT($A68,4),'Auto Responses'!$N$4:$O$38,2,0)&amp;""</f>
        <v xml:space="preserve"> International Privacy</v>
      </c>
      <c r="B67" s="22"/>
      <c r="C67" s="13" t="s">
        <v>1495</v>
      </c>
      <c r="D67" s="13" t="s">
        <v>72</v>
      </c>
      <c r="E67" s="31" t="s">
        <v>848</v>
      </c>
      <c r="F67" s="201" t="s">
        <v>849</v>
      </c>
      <c r="H67" s="35"/>
    </row>
    <row r="68" spans="1:8" s="1" customFormat="1" ht="42.75" customHeight="1" x14ac:dyDescent="0.15">
      <c r="A68" s="19" t="s">
        <v>752</v>
      </c>
      <c r="B68" s="18">
        <f>VLOOKUP($A68,Questions!$A$2:$X$333,2,0)</f>
      </c>
      <c r="C68" s="21" t="s">
        <v>148</v>
      </c>
      <c r="D68" s="320" t="s">
        <v>1952</v>
      </c>
      <c r="E68" s="166">
        <f>IF($C68='Auto Responses'!$J$3,VLOOKUP($A68,Questions!$A$2:$X$333,17,0)&amp;"",IF($C68='Auto Responses'!$J$4,VLOOKUP($A68,Questions!$A$2:$X$333,16,0)&amp;"",VLOOKUP($A68,Questions!$A$2:$X$333,15,0)&amp;""))</f>
      </c>
      <c r="F68" s="203">
        <f>VLOOKUP($A68,'Privacy Analyst Evaluation'!$A$46:$F$120,6,0)&amp;""</f>
      </c>
      <c r="H68" s="35"/>
    </row>
    <row r="69" spans="1:8" s="1" customFormat="1" ht="28.5" customHeight="1" x14ac:dyDescent="0.15">
      <c r="A69" s="19" t="s">
        <v>755</v>
      </c>
      <c r="B69" s="18">
        <f>VLOOKUP($A69,Questions!$A$2:$X$333,2,0)</f>
      </c>
      <c r="C69" s="21" t="s">
        <v>148</v>
      </c>
      <c r="D69" s="320"/>
      <c r="E69" s="166" t="str">
        <f>IF($C69='Auto Responses'!$J$3,VLOOKUP($A69,Questions!$A$2:$X$333,17,0)&amp;"",IF($C69='Auto Responses'!$J$4,VLOOKUP($A69,Questions!$A$2:$X$333,16,0)&amp;"",VLOOKUP($A69,Questions!$A$2:$X$333,15,0)&amp;""))</f>
      </c>
      <c r="F69" s="203">
        <f>VLOOKUP($A69,'Privacy Analyst Evaluation'!$A$46:$F$120,6,0)&amp;""</f>
      </c>
      <c r="H69" s="35"/>
    </row>
    <row r="70" spans="1:8" s="1" customFormat="1" ht="38.25" customHeight="1" x14ac:dyDescent="0.15">
      <c r="A70" s="19" t="s">
        <v>757</v>
      </c>
      <c r="B70" s="18">
        <f>VLOOKUP($A70,Questions!$A$2:$X$333,2,0)</f>
      </c>
      <c r="C70" s="21" t="s">
        <v>40</v>
      </c>
      <c r="D70" s="320"/>
      <c r="E70" s="166" t="str">
        <f>IF($C70='Auto Responses'!$J$3,VLOOKUP($A70,Questions!$A$2:$X$333,17,0)&amp;"",IF($C70='Auto Responses'!$J$4,VLOOKUP($A70,Questions!$A$2:$X$333,16,0)&amp;"",VLOOKUP($A70,Questions!$A$2:$X$333,15,0)&amp;""))</f>
      </c>
      <c r="F70" s="203">
        <f>VLOOKUP($A70,'Privacy Analyst Evaluation'!$A$46:$F$120,6,0)&amp;""</f>
      </c>
      <c r="H70" s="35"/>
    </row>
    <row r="71" spans="1:8" s="1" customFormat="1" ht="25.5" customHeight="1" x14ac:dyDescent="0.15">
      <c r="A71" s="19" t="s">
        <v>759</v>
      </c>
      <c r="B71" s="18">
        <f>VLOOKUP($A71,Questions!$A$2:$X$333,2,0)</f>
      </c>
      <c r="C71" s="21" t="s">
        <v>148</v>
      </c>
      <c r="D71" s="320"/>
      <c r="E71" s="166" t="str">
        <f>IF($C71='Auto Responses'!$J$3,VLOOKUP($A71,Questions!$A$2:$X$333,17,0)&amp;"",IF($C71='Auto Responses'!$J$4,VLOOKUP($A71,Questions!$A$2:$X$333,16,0)&amp;"",VLOOKUP($A71,Questions!$A$2:$X$333,15,0)&amp;""))</f>
      </c>
      <c r="F71" s="203">
        <f>VLOOKUP($A71,'Privacy Analyst Evaluation'!$A$46:$F$120,6,0)&amp;""</f>
      </c>
      <c r="H71" s="35"/>
    </row>
    <row r="72" spans="1:8" s="1" customFormat="1" ht="43.5" customHeight="1" thickBot="1" x14ac:dyDescent="0.2">
      <c r="A72" s="19" t="s">
        <v>762</v>
      </c>
      <c r="B72" s="18">
        <f>VLOOKUP($A72,Questions!$A$2:$X$333,2,0)</f>
      </c>
      <c r="C72" s="21" t="s">
        <v>1525</v>
      </c>
      <c r="D72" s="320" t="s">
        <v>2065</v>
      </c>
      <c r="E72" s="166">
        <f>IF($C72='Auto Responses'!$J$3,VLOOKUP($A72,Questions!$A$2:$X$333,17,0)&amp;"",IF($C72='Auto Responses'!$J$4,VLOOKUP($A72,Questions!$A$2:$X$333,16,0)&amp;"",IF($C72='Auto Responses'!$J$5,VLOOKUP($A72,Questions!$A$2:$X$333,18,0)&amp;"",VLOOKUP($A72,Questions!$A$2:$X$333,15,0)&amp;"")))</f>
      </c>
      <c r="F72" s="203">
        <f>VLOOKUP($A72,'Privacy Analyst Evaluation'!$A$46:$F$120,6,0)&amp;""</f>
      </c>
      <c r="G72" s="235" t="s">
        <v>1448</v>
      </c>
      <c r="H72" s="35"/>
    </row>
    <row r="73" spans="1:8" s="1" customFormat="1" ht="37.5" customHeight="1" thickBot="1" x14ac:dyDescent="0.2">
      <c r="A73" s="63" t="str">
        <f>VLOOKUP(LEFT($A74,4),'Auto Responses'!$N$4:$O$38,2,0)&amp;""</f>
        <v xml:space="preserve"> Data Privacy</v>
      </c>
      <c r="B73" s="22"/>
      <c r="C73" s="13" t="s">
        <v>1495</v>
      </c>
      <c r="D73" s="13" t="s">
        <v>72</v>
      </c>
      <c r="E73" s="31" t="s">
        <v>848</v>
      </c>
      <c r="F73" s="201" t="s">
        <v>849</v>
      </c>
      <c r="H73" s="35"/>
    </row>
    <row r="74" spans="1:8" s="1" customFormat="1" ht="39.75" customHeight="1" x14ac:dyDescent="0.15">
      <c r="A74" s="19" t="s">
        <v>1034</v>
      </c>
      <c r="B74" s="18">
        <f>VLOOKUP($A74,Questions!$A$2:$X$333,2,0)</f>
      </c>
      <c r="C74" s="21" t="inlineStr">
        <is>
          <t xml:space="preserve">Yes</t>
        </is>
      </c>
      <c r="D74" s="320" t="inlineStr">
        <is>
          <t xml:space="preserve">A Data Protection Impact Assessment for the Edugator platform was completed 2026-10-31 and is reviewed annually or on significant change.</t>
        </is>
      </c>
      <c r="E74" s="166">
        <f>IF($C74='Auto Responses'!$J$3,VLOOKUP($A74,Questions!$A$2:$X$333,17,0)&amp;"",IF($C74='Auto Responses'!$J$4,VLOOKUP($A74,Questions!$A$2:$X$333,16,0)&amp;"",VLOOKUP($A74,Questions!$A$2:$X$333,15,0)&amp;""))</f>
      </c>
      <c r="F74" s="203">
        <f>VLOOKUP($A74,'Privacy Analyst Evaluation'!$A$46:$F$120,6,0)&amp;""</f>
      </c>
      <c r="H74" s="35"/>
    </row>
    <row r="75" spans="1:8" s="1" customFormat="1" ht="54.75" customHeight="1" x14ac:dyDescent="0.15">
      <c r="A75" s="19" t="s">
        <v>1035</v>
      </c>
      <c r="B75" s="18">
        <f>VLOOKUP($A75,Questions!$A$2:$X$333,2,0)</f>
      </c>
      <c r="C75" s="21" t="s">
        <v>40</v>
      </c>
      <c r="D75" s="320" t="s">
        <v>2055</v>
      </c>
      <c r="E75" s="166">
        <f>IF($C75='Auto Responses'!$J$3,VLOOKUP($A75,Questions!$A$2:$X$333,17,0)&amp;"",IF($C75='Auto Responses'!$J$4,VLOOKUP($A75,Questions!$A$2:$X$333,16,0)&amp;"",VLOOKUP($A75,Questions!$A$2:$X$333,15,0)&amp;""))</f>
      </c>
      <c r="F75" s="203">
        <f>VLOOKUP($A75,'Privacy Analyst Evaluation'!$A$46:$F$120,6,0)&amp;""</f>
      </c>
      <c r="H75" s="35"/>
    </row>
    <row r="76" spans="1:8" s="1" customFormat="1" ht="54" customHeight="1" x14ac:dyDescent="0.15">
      <c r="A76" s="19" t="s">
        <v>1036</v>
      </c>
      <c r="B76" s="18">
        <f>VLOOKUP($A76,Questions!$A$2:$X$333,2,0)</f>
      </c>
      <c r="C76" s="21" t="s">
        <v>148</v>
      </c>
      <c r="D76" s="320" t="s">
        <v>2066</v>
      </c>
      <c r="E76" s="166">
        <f>IF($C76='Auto Responses'!$J$3,VLOOKUP($A76,Questions!$A$2:$X$333,17,0)&amp;"",IF($C76='Auto Responses'!$J$4,VLOOKUP($A76,Questions!$A$2:$X$333,16,0)&amp;"",IF($C76='Auto Responses'!$J$5,VLOOKUP($A76,Questions!$A$2:$X$333,18,0)&amp;"",VLOOKUP($A76,Questions!$A$2:$X$333,15,0)&amp;"")))</f>
      </c>
      <c r="F76" s="203">
        <f>VLOOKUP($A76,'Privacy Analyst Evaluation'!$A$46:$F$120,6,0)&amp;""</f>
      </c>
      <c r="H76" s="35"/>
    </row>
    <row r="77" spans="1:8" s="1" customFormat="1" ht="57" customHeight="1" x14ac:dyDescent="0.15">
      <c r="A77" s="19" t="s">
        <v>1037</v>
      </c>
      <c r="B77" s="18">
        <f>VLOOKUP($A77,Questions!$A$2:$X$333,2,0)</f>
      </c>
      <c r="C77" s="21" t="s">
        <v>40</v>
      </c>
      <c r="D77" s="320"/>
      <c r="E77" s="166" t="str">
        <f>IF($C77='Auto Responses'!$J$3,VLOOKUP($A77,Questions!$A$2:$X$333,17,0)&amp;"",IF($C77='Auto Responses'!$J$4,VLOOKUP($A77,Questions!$A$2:$X$333,16,0)&amp;"",IF($C77='Auto Responses'!$J$5,VLOOKUP($A77,Questions!$A$2:$X$333,18,0)&amp;"",VLOOKUP($A77,Questions!$A$2:$X$333,15,0)&amp;"")))</f>
      </c>
      <c r="F77" s="203">
        <f>VLOOKUP($A77,'Privacy Analyst Evaluation'!$A$46:$F$120,6,0)&amp;""</f>
      </c>
      <c r="H77" s="35"/>
    </row>
    <row r="78" spans="1:8" s="1" customFormat="1" ht="36" customHeight="1" x14ac:dyDescent="0.15">
      <c r="A78" s="19" t="s">
        <v>1038</v>
      </c>
      <c r="B78" s="18">
        <f>VLOOKUP($A78,Questions!$A$2:$X$333,2,0)</f>
      </c>
      <c r="C78" s="21" t="s">
        <v>40</v>
      </c>
      <c r="D78" s="320" t="s">
        <v>2067</v>
      </c>
      <c r="E78" s="166">
        <f>IF($C78='Auto Responses'!$J$3,VLOOKUP($A78,Questions!$A$2:$X$333,17,0)&amp;"",IF($C78='Auto Responses'!$J$4,VLOOKUP($A78,Questions!$A$2:$X$333,16,0)&amp;"",IF($C78='Auto Responses'!$J$5,VLOOKUP($A78,Questions!$A$2:$X$333,18,0)&amp;"",VLOOKUP($A78,Questions!$A$2:$X$333,15,0)&amp;"")))</f>
      </c>
      <c r="F78" s="203">
        <f>VLOOKUP($A78,'Privacy Analyst Evaluation'!$A$46:$F$120,6,0)&amp;""</f>
      </c>
      <c r="H78" s="35"/>
    </row>
    <row r="79" spans="1:8" s="1" customFormat="1" ht="57.75" customHeight="1" x14ac:dyDescent="0.15">
      <c r="A79" s="19" t="s">
        <v>1039</v>
      </c>
      <c r="B79" s="18">
        <f>VLOOKUP($A79,Questions!$A$2:$X$333,2,0)</f>
      </c>
      <c r="C79" s="21" t="s">
        <v>148</v>
      </c>
      <c r="D79" s="320"/>
      <c r="E79" s="166" t="str">
        <f>IF($C79='Auto Responses'!$J$3,VLOOKUP($A79,Questions!$A$2:$X$333,17,0)&amp;"",IF($C79='Auto Responses'!$J$4,VLOOKUP($A79,Questions!$A$2:$X$333,16,0)&amp;"",IF($C79='Auto Responses'!$J$5,VLOOKUP($A79,Questions!$A$2:$X$333,18,0)&amp;"",VLOOKUP($A79,Questions!$A$2:$X$333,15,0)&amp;"")))</f>
      </c>
      <c r="F79" s="203">
        <f>VLOOKUP($A79,'Privacy Analyst Evaluation'!$A$46:$F$120,6,0)&amp;""</f>
      </c>
      <c r="H79" s="35"/>
    </row>
    <row r="80" spans="1:8" s="1" customFormat="1" ht="90" x14ac:dyDescent="0.15">
      <c r="A80" s="19" t="s">
        <v>1040</v>
      </c>
      <c r="B80" s="18">
        <f>VLOOKUP($A80,Questions!$A$2:$X$333,2,0)</f>
      </c>
      <c r="C80" s="21" t="s">
        <v>40</v>
      </c>
      <c r="D80" s="320" t="s">
        <v>2069</v>
      </c>
      <c r="E80" s="166">
        <f>IF($C80='Auto Responses'!$J$3,VLOOKUP($A80,Questions!$A$2:$X$333,17,0)&amp;"",IF($C80='Auto Responses'!$J$4,VLOOKUP($A80,Questions!$A$2:$X$333,16,0)&amp;"",IF($C80='Auto Responses'!$J$5,VLOOKUP($A80,Questions!$A$2:$X$333,18,0)&amp;"",VLOOKUP($A80,Questions!$A$2:$X$333,15,0)&amp;"")))</f>
      </c>
      <c r="F80" s="203">
        <f>VLOOKUP($A80,'Privacy Analyst Evaluation'!$A$46:$F$120,6,0)&amp;""</f>
      </c>
      <c r="H80" s="35"/>
    </row>
    <row r="81" spans="1:8" s="1" customFormat="1" ht="70.5" customHeight="1" x14ac:dyDescent="0.15">
      <c r="A81" s="19" t="s">
        <v>1041</v>
      </c>
      <c r="B81" s="18">
        <f>VLOOKUP($A81,Questions!$A$2:$X$333,2,0)</f>
      </c>
      <c r="C81" s="21" t="s">
        <v>40</v>
      </c>
      <c r="D81" s="320"/>
      <c r="E81" s="166" t="str">
        <f>IF($C81='Auto Responses'!$J$3,VLOOKUP($A81,Questions!$A$2:$X$333,17,0)&amp;"",IF($C81='Auto Responses'!$J$4,VLOOKUP($A81,Questions!$A$2:$X$333,16,0)&amp;"",IF($C81='Auto Responses'!$J$5,VLOOKUP($A81,Questions!$A$2:$X$333,18,0)&amp;"",VLOOKUP($A81,Questions!$A$2:$X$333,15,0)&amp;"")))</f>
      </c>
      <c r="F81" s="203">
        <f>VLOOKUP($A81,'Privacy Analyst Evaluation'!$A$46:$F$120,6,0)&amp;""</f>
      </c>
      <c r="H81" s="35"/>
    </row>
    <row r="82" spans="1:8" s="1" customFormat="1" ht="40.5" customHeight="1" x14ac:dyDescent="0.15">
      <c r="A82" s="19" t="s">
        <v>1042</v>
      </c>
      <c r="B82" s="18">
        <f>VLOOKUP($A82,Questions!$A$2:$X$333,2,0)</f>
      </c>
      <c r="C82" s="21" t="s">
        <v>40</v>
      </c>
      <c r="D82" s="320" t="s">
        <v>2070</v>
      </c>
      <c r="E82" s="166">
        <f>IF($C82='Auto Responses'!$J$3,VLOOKUP($A82,Questions!$A$2:$X$333,17,0)&amp;"",IF($C82='Auto Responses'!$J$4,VLOOKUP($A82,Questions!$A$2:$X$333,16,0)&amp;"",IF($C82='Auto Responses'!$J$5,VLOOKUP($A82,Questions!$A$2:$X$333,18,0)&amp;"",VLOOKUP($A82,Questions!$A$2:$X$333,15,0)&amp;"")))</f>
      </c>
      <c r="F82" s="203">
        <f>VLOOKUP($A82,'Privacy Analyst Evaluation'!$A$46:$F$120,6,0)&amp;""</f>
      </c>
      <c r="H82" s="35"/>
    </row>
    <row r="83" spans="1:8" s="1" customFormat="1" ht="49.5" customHeight="1" x14ac:dyDescent="0.15">
      <c r="A83" s="19" t="s">
        <v>1043</v>
      </c>
      <c r="B83" s="18">
        <f>VLOOKUP($A83,Questions!$A$2:$X$333,2,0)</f>
      </c>
      <c r="C83" s="21" t="s">
        <v>40</v>
      </c>
      <c r="D83" s="320"/>
      <c r="E83" s="166" t="str">
        <f>IF($C83='Auto Responses'!$J$3,VLOOKUP($A83,Questions!$A$2:$X$333,17,0)&amp;"",IF($C83='Auto Responses'!$J$4,VLOOKUP($A83,Questions!$A$2:$X$333,16,0)&amp;"",IF($C83='Auto Responses'!$J$5,VLOOKUP($A83,Questions!$A$2:$X$333,18,0)&amp;"",VLOOKUP($A83,Questions!$A$2:$X$333,15,0)&amp;"")))</f>
      </c>
      <c r="F83" s="203">
        <f>VLOOKUP($A83,'Privacy Analyst Evaluation'!$A$46:$F$120,6,0)&amp;""</f>
      </c>
      <c r="H83" s="35"/>
    </row>
    <row r="84" spans="1:8" s="1" customFormat="1" ht="46.5" customHeight="1" x14ac:dyDescent="0.15">
      <c r="A84" s="19" t="s">
        <v>1044</v>
      </c>
      <c r="B84" s="18">
        <f>VLOOKUP($A84,Questions!$A$2:$X$333,2,0)</f>
      </c>
      <c r="C84" s="21" t="inlineStr">
        <is>
          <t xml:space="preserve">Yes</t>
        </is>
      </c>
      <c r="D84" s="320" t="inlineStr">
        <is>
          <t xml:space="preserve">Privacy Program §6: complaints to legal@edugator.app are acknowledged within 5 business days and answered in writing within 30 days, with escalation paths.</t>
        </is>
      </c>
      <c r="E84" s="166">
        <f>IF($C84='Auto Responses'!$J$3,VLOOKUP($A84,Questions!$A$2:$X$333,17,0)&amp;"",IF($C84='Auto Responses'!$J$4,VLOOKUP($A84,Questions!$A$2:$X$333,16,0)&amp;"",IF($C84='Auto Responses'!$J$5,VLOOKUP($A84,Questions!$A$2:$X$333,18,0)&amp;"",VLOOKUP($A84,Questions!$A$2:$X$333,15,0)&amp;"")))</f>
      </c>
      <c r="F84" s="203">
        <f>VLOOKUP($A84,'Privacy Analyst Evaluation'!$A$46:$F$120,6,0)&amp;""</f>
      </c>
      <c r="H84" s="35"/>
    </row>
    <row r="85" spans="1:8" s="1" customFormat="1" ht="45" customHeight="1" x14ac:dyDescent="0.15">
      <c r="A85" s="19" t="s">
        <v>1045</v>
      </c>
      <c r="B85" s="18">
        <f>VLOOKUP($A85,Questions!$A$2:$X$333,2,0)</f>
      </c>
      <c r="C85" s="21" t="s">
        <v>148</v>
      </c>
      <c r="D85" s="320"/>
      <c r="E85" s="166" t="str">
        <f>IF($C85='Auto Responses'!$J$3,VLOOKUP($A85,Questions!$A$2:$X$333,17,0)&amp;"",IF($C85='Auto Responses'!$J$4,VLOOKUP($A85,Questions!$A$2:$X$333,16,0)&amp;"",IF($C85='Auto Responses'!$J$5,VLOOKUP($A85,Questions!$A$2:$X$333,18,0)&amp;"",VLOOKUP($A85,Questions!$A$2:$X$333,15,0)&amp;"")))</f>
      </c>
      <c r="F85" s="203">
        <f>VLOOKUP($A85,'Privacy Analyst Evaluation'!$A$46:$F$120,6,0)&amp;""</f>
      </c>
      <c r="H85" s="35"/>
    </row>
    <row r="86" spans="1:8" s="1" customFormat="1" ht="93" customHeight="1" x14ac:dyDescent="0.15">
      <c r="A86" s="19" t="s">
        <v>1046</v>
      </c>
      <c r="B86" s="18">
        <f>VLOOKUP($A86,Questions!$A$2:$X$333,2,0)</f>
      </c>
      <c r="C86" s="21" t="s">
        <v>148</v>
      </c>
      <c r="D86" s="320"/>
      <c r="E86" s="166" t="str">
        <f>IF($C86='Auto Responses'!$J$3,VLOOKUP($A86,Questions!$A$2:$X$333,17,0)&amp;"",IF($C86='Auto Responses'!$J$4,VLOOKUP($A86,Questions!$A$2:$X$333,16,0)&amp;"",IF($C86='Auto Responses'!$J$5,VLOOKUP($A86,Questions!$A$2:$X$333,18,0)&amp;"",VLOOKUP($A86,Questions!$A$2:$X$333,15,0)&amp;"")))</f>
      </c>
      <c r="F86" s="203">
        <f>VLOOKUP($A86,'Privacy Analyst Evaluation'!$A$46:$F$120,6,0)&amp;""</f>
      </c>
      <c r="H86" s="35"/>
    </row>
    <row r="87" spans="1:8" s="1" customFormat="1" ht="90" x14ac:dyDescent="0.15">
      <c r="A87" s="19" t="s">
        <v>1047</v>
      </c>
      <c r="B87" s="18">
        <f>VLOOKUP($A87,Questions!$A$2:$X$333,2,0)</f>
      </c>
      <c r="C87" s="21" t="inlineStr">
        <is>
          <t xml:space="preserve">Yes</t>
        </is>
      </c>
      <c r="D87" s="320" t="inlineStr">
        <is>
          <t xml:space="preserve">Stop-processing and deletion requests are applied to Edugator systems and to vendors holding the data, and completion is confirmed in writing (Privacy Program §5).</t>
        </is>
      </c>
      <c r="E87" s="166">
        <f>IF($C87='Auto Responses'!$J$3,VLOOKUP($A87,Questions!$A$2:$X$333,17,0)&amp;"",IF($C87='Auto Responses'!$J$4,VLOOKUP($A87,Questions!$A$2:$X$333,16,0)&amp;"",IF($C87='Auto Responses'!$J$5,VLOOKUP($A87,Questions!$A$2:$X$333,18,0)&amp;"",VLOOKUP($A87,Questions!$A$2:$X$333,15,0)&amp;"")))</f>
      </c>
      <c r="F87" s="203">
        <f>VLOOKUP($A87,'Privacy Analyst Evaluation'!$A$46:$F$120,6,0)&amp;""</f>
      </c>
      <c r="H87" s="35"/>
    </row>
    <row r="88" spans="1:8" s="1" customFormat="1" ht="36.75" customHeight="1" thickBot="1" x14ac:dyDescent="0.2">
      <c r="A88" s="19" t="s">
        <v>1048</v>
      </c>
      <c r="B88" s="18">
        <f>VLOOKUP($A88,Questions!$A$2:$X$333,2,0)</f>
      </c>
      <c r="C88" s="21" t="inlineStr">
        <is>
          <t xml:space="preserve">Yes</t>
        </is>
      </c>
      <c r="D88" s="320" t="inlineStr">
        <is>
          <t xml:space="preserve">Code review includes an ethical-impact check (fairness, academic integrity, transparency, instructor control) for changes touching personal data or AI (Privacy Program §3).</t>
        </is>
      </c>
      <c r="E88" s="166">
        <f>IF($C88='Auto Responses'!$J$3,VLOOKUP($A88,Questions!$A$2:$X$333,17,0)&amp;"",IF($C88='Auto Responses'!$J$4,VLOOKUP($A88,Questions!$A$2:$X$333,16,0)&amp;"",VLOOKUP($A88,Questions!$A$2:$X$333,15,0)&amp;""))</f>
      </c>
      <c r="F88" s="203">
        <f>VLOOKUP($A88,'Privacy Analyst Evaluation'!$A$46:$F$120,6,0)&amp;""</f>
      </c>
      <c r="G88" s="235" t="s">
        <v>1448</v>
      </c>
      <c r="H88" s="35"/>
    </row>
    <row r="89" spans="1:8" s="1" customFormat="1" ht="37.5" customHeight="1" thickBot="1" x14ac:dyDescent="0.2">
      <c r="A89" s="63" t="str">
        <f>VLOOKUP(LEFT($A90,4),'Auto Responses'!$N$4:$O$38,2,0)&amp;""</f>
        <v xml:space="preserve"> Privacy and AI</v>
      </c>
      <c r="B89" s="22"/>
      <c r="C89" s="13" t="s">
        <v>1495</v>
      </c>
      <c r="D89" s="13" t="s">
        <v>72</v>
      </c>
      <c r="E89" s="31" t="s">
        <v>848</v>
      </c>
      <c r="F89" s="201" t="s">
        <v>849</v>
      </c>
      <c r="H89" s="35"/>
    </row>
    <row r="90" spans="1:8" s="1" customFormat="1" ht="75" x14ac:dyDescent="0.15">
      <c r="A90" s="19" t="s">
        <v>1049</v>
      </c>
      <c r="B90" s="18">
        <f>VLOOKUP($A90,Questions!$A$2:$X$333,2,0)</f>
      </c>
      <c r="C90" s="21" t="s">
        <v>40</v>
      </c>
      <c r="D90" s="320" t="s">
        <v>2072</v>
      </c>
      <c r="E90" s="166">
        <f>IF($C$19='Auto Responses'!$J$4,'Auto Responses'!$A$6,IF($C90='Auto Responses'!$J$3,VLOOKUP($A90,Questions!$A$2:$X$333,17,0)&amp;"",IF($C90='Auto Responses'!$J$4,VLOOKUP($A90,Questions!$A$2:$X$333,16,0)&amp;"",IF($C90='Auto Responses'!$J$5,VLOOKUP($A90,Questions!$A$2:$X$333,18,0)&amp;"",VLOOKUP($A90,Questions!$A$2:$X$333,15,0)&amp;""))))</f>
      </c>
      <c r="F90" s="203">
        <f>VLOOKUP($A90,'Privacy Analyst Evaluation'!$A$46:$F$120,6,0)&amp;""</f>
      </c>
      <c r="H90" s="35"/>
    </row>
    <row r="91" spans="1:8" s="1" customFormat="1" ht="60" x14ac:dyDescent="0.15">
      <c r="A91" s="19" t="s">
        <v>1050</v>
      </c>
      <c r="B91" s="18">
        <f>VLOOKUP($A91,Questions!$A$2:$X$333,2,0)</f>
      </c>
      <c r="C91" s="21" t="s">
        <v>148</v>
      </c>
      <c r="D91" s="320" t="s">
        <v>2073</v>
      </c>
      <c r="E91" s="166">
        <f>IF($C$19='Auto Responses'!$J$4,'Auto Responses'!$A$6,IF($C91='Auto Responses'!$J$3,VLOOKUP($A91,Questions!$A$2:$X$333,17,0)&amp;"",IF($C91='Auto Responses'!$J$4,VLOOKUP($A91,Questions!$A$2:$X$333,16,0)&amp;"",IF($C91='Auto Responses'!$J$5,VLOOKUP($A91,Questions!$A$2:$X$333,18,0)&amp;"",VLOOKUP($A91,Questions!$A$2:$X$333,15,0)&amp;""))))</f>
      </c>
      <c r="F91" s="203">
        <f>VLOOKUP($A91,'Privacy Analyst Evaluation'!$A$46:$F$120,6,0)&amp;""</f>
      </c>
      <c r="H91" s="35"/>
    </row>
    <row r="92" spans="1:8" s="1" customFormat="1" ht="55.5" customHeight="1" x14ac:dyDescent="0.15">
      <c r="A92" s="19" t="s">
        <v>773</v>
      </c>
      <c r="B92" s="18">
        <f>VLOOKUP($A92,Questions!$A$2:$X$333,2,0)</f>
      </c>
      <c r="C92" s="21" t="s">
        <v>40</v>
      </c>
      <c r="D92" s="320" t="s">
        <v>2074</v>
      </c>
      <c r="E92" s="166">
        <f>IF($C$19='Auto Responses'!$J$4,'Auto Responses'!$A$6,IF($C92='Auto Responses'!$J$3,VLOOKUP($A92,Questions!$A$2:$X$333,17,0)&amp;"",IF($C92='Auto Responses'!$J$4,VLOOKUP($A92,Questions!$A$2:$X$333,16,0)&amp;"",IF($C92='Auto Responses'!$J$5,VLOOKUP($A92,Questions!$A$2:$X$333,18,0)&amp;"",VLOOKUP($A92,Questions!$A$2:$X$333,15,0)&amp;""))))</f>
      </c>
      <c r="F92" s="203">
        <f>VLOOKUP($A92,'Privacy Analyst Evaluation'!$A$46:$F$120,6,0)&amp;""</f>
      </c>
      <c r="H92" s="35"/>
    </row>
    <row r="93" spans="1:8" s="1" customFormat="1" ht="32.25" customHeight="1" x14ac:dyDescent="0.15">
      <c r="A93" s="19" t="s">
        <v>775</v>
      </c>
      <c r="B93" s="18">
        <f>VLOOKUP($A93,Questions!$A$2:$X$333,2,0)</f>
      </c>
      <c r="C93" s="21" t="s">
        <v>40</v>
      </c>
      <c r="D93" s="320" t="s">
        <v>2075</v>
      </c>
      <c r="E93" s="166">
        <f>IF($C$19='Auto Responses'!$J$4,'Auto Responses'!$A$6,IF($C93='Auto Responses'!$J$3,VLOOKUP($A93,Questions!$A$2:$X$333,17,0)&amp;"",IF($C93='Auto Responses'!$J$4,VLOOKUP($A93,Questions!$A$2:$X$333,16,0)&amp;"",IF($C93='Auto Responses'!$J$5,VLOOKUP($A93,Questions!$A$2:$X$333,18,0)&amp;"",VLOOKUP($A93,Questions!$A$2:$X$333,15,0)&amp;""))))</f>
      </c>
      <c r="F93" s="203">
        <f>VLOOKUP($A93,'Privacy Analyst Evaluation'!$A$46:$F$120,6,0)&amp;""</f>
      </c>
      <c r="H93" s="35"/>
    </row>
    <row r="94" spans="1:8" s="1" customFormat="1" ht="32.25" customHeight="1" x14ac:dyDescent="0.15">
      <c r="A94" s="19" t="s">
        <v>776</v>
      </c>
      <c r="B94" s="18">
        <f>VLOOKUP($A94,Questions!$A$2:$X$333,2,0)</f>
      </c>
      <c r="C94" s="21" t="s">
        <v>40</v>
      </c>
      <c r="D94" s="320" t="s">
        <v>2076</v>
      </c>
      <c r="E94" s="166">
        <f>IF($C$19='Auto Responses'!$J$4,'Auto Responses'!$A$6,IF($C94='Auto Responses'!$J$3,VLOOKUP($A94,Questions!$A$2:$X$333,17,0)&amp;"",IF($C94='Auto Responses'!$J$4,VLOOKUP($A94,Questions!$A$2:$X$333,16,0)&amp;"",IF($C94='Auto Responses'!$J$5,VLOOKUP($A94,Questions!$A$2:$X$333,18,0)&amp;"",VLOOKUP($A94,Questions!$A$2:$X$333,15,0)&amp;""))))</f>
      </c>
      <c r="F94" s="203">
        <f>VLOOKUP($A94,'Privacy Analyst Evaluation'!$A$46:$F$120,6,0)&amp;""</f>
      </c>
      <c r="H94" s="35"/>
    </row>
    <row r="95" spans="1:8" s="1" customFormat="1" ht="90" x14ac:dyDescent="0.15">
      <c r="A95" s="19" t="s">
        <v>778</v>
      </c>
      <c r="B95" s="18">
        <f>VLOOKUP($A95,Questions!$A$2:$X$333,2,0)</f>
      </c>
      <c r="C95" s="21" t="s">
        <v>148</v>
      </c>
      <c r="D95" s="320" t="s">
        <v>2077</v>
      </c>
      <c r="E95" s="166">
        <f>IF($C$19='Auto Responses'!$J$4,'Auto Responses'!$A$6,IF($C95='Auto Responses'!$J$3,VLOOKUP($A95,Questions!$A$2:$X$333,17,0)&amp;"",IF($C95='Auto Responses'!$J$4,VLOOKUP($A95,Questions!$A$2:$X$333,16,0)&amp;"",IF($C95='Auto Responses'!$J$5,VLOOKUP($A95,Questions!$A$2:$X$333,18,0)&amp;"",VLOOKUP($A95,Questions!$A$2:$X$333,15,0)&amp;""))))</f>
      </c>
      <c r="F95" s="203">
        <f>VLOOKUP($A95,'Privacy Analyst Evaluation'!$A$46:$F$120,6,0)&amp;""</f>
      </c>
      <c r="H95" s="35"/>
    </row>
    <row r="96" spans="1:8" s="1" customFormat="1" ht="32.25" customHeight="1" x14ac:dyDescent="0.15">
      <c r="A96" s="19" t="s">
        <v>779</v>
      </c>
      <c r="B96" s="18">
        <f>VLOOKUP($A96,Questions!$A$2:$X$333,2,0)</f>
      </c>
      <c r="C96" s="21" t="s">
        <v>148</v>
      </c>
      <c r="D96" s="320"/>
      <c r="E96" s="166" t="str">
        <f>IF($C$19='Auto Responses'!$J$4,'Auto Responses'!$A$6,IF($C96='Auto Responses'!$J$3,VLOOKUP($A96,Questions!$A$2:$X$333,17,0)&amp;"",IF($C96='Auto Responses'!$J$4,VLOOKUP($A96,Questions!$A$2:$X$333,16,0)&amp;"",IF($C96='Auto Responses'!$J$5,VLOOKUP($A96,Questions!$A$2:$X$333,18,0)&amp;"",VLOOKUP($A96,Questions!$A$2:$X$333,15,0)&amp;""))))</f>
      </c>
      <c r="F96" s="203">
        <f>VLOOKUP($A96,'Privacy Analyst Evaluation'!$A$46:$F$120,6,0)&amp;""</f>
      </c>
      <c r="H96" s="35"/>
    </row>
    <row r="97" spans="1:11" s="1" customFormat="1" ht="55.5" customHeight="1" x14ac:dyDescent="0.15">
      <c r="A97" s="19" t="s">
        <v>780</v>
      </c>
      <c r="B97" s="18">
        <f>VLOOKUP($A97,Questions!$A$2:$X$333,2,0)</f>
      </c>
      <c r="C97" s="21" t="s">
        <v>148</v>
      </c>
      <c r="D97" s="320" t="s">
        <v>2079</v>
      </c>
      <c r="E97" s="166">
        <f>IF($C$19='Auto Responses'!$J$4,'Auto Responses'!$A$6,IF($C97='Auto Responses'!$J$3,VLOOKUP($A97,Questions!$A$2:$X$333,17,0)&amp;"",IF($C97='Auto Responses'!$J$4,VLOOKUP($A97,Questions!$A$2:$X$333,16,0)&amp;"",IF($C97='Auto Responses'!$J$5,VLOOKUP($A97,Questions!$A$2:$X$333,18,0)&amp;"",VLOOKUP($A97,Questions!$A$2:$X$333,15,0)&amp;""))))</f>
      </c>
      <c r="F97" s="203">
        <f>VLOOKUP($A97,'Privacy Analyst Evaluation'!$A$46:$F$120,6,0)&amp;""</f>
      </c>
      <c r="G97" s="235" t="s">
        <v>1448</v>
      </c>
      <c r="H97" s="35"/>
    </row>
    <row r="98" spans="1:11" s="1" customFormat="1" ht="44.25" customHeight="1" x14ac:dyDescent="0.15">
      <c r="A98" s="262" t="s">
        <v>1505</v>
      </c>
      <c r="C98" s="8"/>
      <c r="D98" s="9"/>
      <c r="E98" s="40"/>
      <c r="F98" s="195"/>
      <c r="H98" s="35"/>
    </row>
    <row r="99" spans="1:11" s="1" customFormat="1" ht="15" hidden="1" customHeight="1" x14ac:dyDescent="0.15">
      <c r="A99"/>
      <c r="C99" s="8"/>
      <c r="D99" s="9"/>
      <c r="E99" s="40"/>
      <c r="F99" s="195"/>
      <c r="H99" s="35"/>
    </row>
    <row r="100" spans="1:11" ht="15" hidden="1" customHeight="1" x14ac:dyDescent="0.15">
      <c r="A100" s="1"/>
      <c r="B100" s="8"/>
      <c r="C100" s="70"/>
      <c r="D100" s="10"/>
      <c r="E100" s="41"/>
      <c r="G100" s="35"/>
      <c r="H100" s="1"/>
      <c r="K100"/>
    </row>
    <row r="101" spans="1:11" ht="0" hidden="1" customHeight="1" x14ac:dyDescent="0.15">
      <c r="A101" s="19" t="e">
        <f>#REF!</f>
      </c>
    </row>
    <row r="102" spans="1:11" s="1" customFormat="1" ht="0" hidden="1" customHeight="1" x14ac:dyDescent="0.15">
      <c r="A102" s="19">
        <f>#REF!</f>
      </c>
      <c r="C102" s="8"/>
      <c r="D102" s="9"/>
      <c r="E102" s="40"/>
      <c r="F102" s="195"/>
      <c r="H102" s="35"/>
    </row>
    <row r="103" spans="1:11" s="1" customFormat="1" ht="0" hidden="1" customHeight="1" x14ac:dyDescent="0.15">
      <c r="A103" s="19" t="e">
        <f>#REF!</f>
      </c>
      <c r="C103" s="8"/>
      <c r="D103" s="9"/>
      <c r="E103" s="40"/>
      <c r="F103" s="195"/>
      <c r="H103" s="35"/>
    </row>
    <row r="104" spans="1:11" s="1" customFormat="1" ht="0" hidden="1" customHeight="1" x14ac:dyDescent="0.15">
      <c r="A104" s="19" t="e">
        <f>#REF!</f>
      </c>
      <c r="C104" s="8"/>
      <c r="D104" s="9"/>
      <c r="E104" s="40"/>
      <c r="F104" s="195"/>
      <c r="H104" s="35"/>
    </row>
    <row r="105" spans="1:11" s="1" customFormat="1" ht="0" hidden="1" customHeight="1" x14ac:dyDescent="0.15">
      <c r="A105" s="19" t="e">
        <f>#REF!</f>
      </c>
      <c r="C105" s="8"/>
      <c r="D105" s="9"/>
      <c r="E105" s="40"/>
      <c r="F105" s="195"/>
      <c r="H105" s="35"/>
    </row>
    <row r="106" spans="1:11" s="1" customFormat="1" ht="0" hidden="1" customHeight="1" x14ac:dyDescent="0.15">
      <c r="A106" s="19" t="e">
        <f>#REF!</f>
      </c>
      <c r="C106" s="8"/>
      <c r="D106" s="9"/>
      <c r="E106" s="40"/>
      <c r="F106" s="195"/>
      <c r="H106" s="35"/>
    </row>
    <row r="107" spans="1:11" s="1" customFormat="1" ht="0" hidden="1" customHeight="1" x14ac:dyDescent="0.15">
      <c r="A107" s="19" t="e">
        <f>#REF!</f>
      </c>
      <c r="C107" s="8"/>
      <c r="D107" s="9"/>
      <c r="E107" s="40"/>
      <c r="F107" s="195"/>
      <c r="H107" s="35"/>
    </row>
    <row r="108" spans="1:11" s="1" customFormat="1" ht="0" hidden="1" customHeight="1" x14ac:dyDescent="0.15">
      <c r="A108"/>
      <c r="C108" s="8"/>
      <c r="D108" s="9"/>
      <c r="E108" s="40"/>
      <c r="F108" s="195"/>
      <c r="H108" s="35"/>
    </row>
    <row r="109" spans="1:11" s="1" customFormat="1" ht="0" hidden="1" customHeight="1" x14ac:dyDescent="0.15">
      <c r="A109"/>
      <c r="C109" s="8"/>
      <c r="D109" s="9"/>
      <c r="E109" s="40"/>
      <c r="F109" s="195"/>
      <c r="H109" s="35"/>
    </row>
    <row r="110" spans="1:11" s="1" customFormat="1" ht="0" hidden="1" customHeight="1" x14ac:dyDescent="0.15">
      <c r="A110"/>
      <c r="C110" s="8"/>
      <c r="D110" s="9"/>
      <c r="E110" s="40"/>
      <c r="F110" s="195"/>
      <c r="H110" s="35"/>
    </row>
    <row r="111" spans="1:11" s="1" customFormat="1" ht="0" hidden="1" customHeight="1" x14ac:dyDescent="0.15">
      <c r="A111"/>
      <c r="C111" s="8"/>
      <c r="D111" s="9"/>
      <c r="E111" s="40"/>
      <c r="F111" s="195"/>
      <c r="H111" s="35"/>
    </row>
    <row r="112" spans="1:11" s="1" customFormat="1" ht="0" hidden="1" customHeight="1" x14ac:dyDescent="0.15">
      <c r="A112"/>
      <c r="C112" s="8"/>
      <c r="D112" s="9"/>
      <c r="E112" s="40"/>
      <c r="F112" s="195"/>
      <c r="H112" s="35"/>
    </row>
    <row r="113" spans="1:8" s="1" customFormat="1" ht="0" hidden="1" customHeight="1" x14ac:dyDescent="0.15">
      <c r="A113"/>
      <c r="C113" s="8"/>
      <c r="D113" s="9"/>
      <c r="E113" s="40"/>
      <c r="F113" s="195"/>
      <c r="H113" s="35"/>
    </row>
    <row r="114" spans="1:8" s="1" customFormat="1" ht="0" hidden="1" customHeight="1" x14ac:dyDescent="0.15">
      <c r="A114"/>
      <c r="C114" s="8"/>
      <c r="D114" s="9"/>
      <c r="E114" s="40"/>
      <c r="F114" s="195"/>
      <c r="H114" s="35"/>
    </row>
    <row r="115" spans="1:8" s="1" customFormat="1" ht="0" hidden="1" customHeight="1" x14ac:dyDescent="0.15">
      <c r="A115"/>
      <c r="C115" s="8"/>
      <c r="D115" s="9"/>
      <c r="E115" s="40"/>
      <c r="F115" s="195"/>
      <c r="H115" s="35"/>
    </row>
    <row r="116" spans="1:8" s="1" customFormat="1" ht="0" hidden="1" customHeight="1" x14ac:dyDescent="0.15">
      <c r="A116"/>
      <c r="C116" s="8"/>
      <c r="D116" s="9"/>
      <c r="E116" s="40"/>
      <c r="F116" s="195"/>
      <c r="H116" s="35"/>
    </row>
    <row r="117" spans="1:8" s="1" customFormat="1" ht="0" hidden="1" customHeight="1" x14ac:dyDescent="0.15">
      <c r="A117"/>
      <c r="C117" s="8"/>
      <c r="D117" s="9"/>
      <c r="E117" s="40"/>
      <c r="F117" s="195"/>
      <c r="H117" s="35"/>
    </row>
  </sheetData>
  <phoneticPr fontId="31"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C31" xr:uid="{01589E43-4C2A-48D7-ADE5-F95ABF77015D}"/>
  </dataValidations>
  <hyperlinks>
    <hyperlink ref="A11" r:id="rId1" display="For full instructions, please visit the HECVAT website."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1" zoomScale="80" zoomScaleNormal="80" workbookViewId="0">
      <selection activeCell="E22" sqref="E22"/>
    </sheetView>
  </sheetViews>
  <sheetFormatPr baseColWidth="10" defaultColWidth="0" defaultRowHeight="0" customHeight="1" zeroHeight="1" x14ac:dyDescent="0.2"/>
  <cols>
    <col min="1" max="1" width="18.75" style="55" customWidth="1"/>
    <col min="2" max="2" width="57.625" style="55" customWidth="1"/>
    <col min="3" max="9" width="19.625" style="55" customWidth="1"/>
    <col min="10" max="10" width="19.625" style="55" bestFit="1" customWidth="1"/>
    <col min="11" max="11" width="17.125" style="55" customWidth="1"/>
    <col min="12" max="12" width="8.5" style="55" customWidth="1"/>
    <col min="13" max="13" width="0" style="55" hidden="1" customWidth="1"/>
    <col min="14" max="16384" width="8.5" style="55" hidden="1"/>
  </cols>
  <sheetData>
    <row r="1" spans="1:10" ht="0" hidden="1" customHeight="1" x14ac:dyDescent="0.2">
      <c r="A1" s="55" t="s">
        <v>1450</v>
      </c>
    </row>
    <row r="2" spans="1:10" ht="36" customHeight="1" x14ac:dyDescent="0.2">
      <c r="A2" s="175" t="s">
        <v>1515</v>
      </c>
      <c r="B2" s="172"/>
      <c r="C2" s="172"/>
      <c r="D2" s="172"/>
      <c r="E2" s="172"/>
      <c r="F2" s="172"/>
      <c r="G2" s="172"/>
      <c r="H2" s="172"/>
      <c r="I2" s="205" t="str">
        <f>'Auto Responses'!$A$36</f>
      </c>
      <c r="J2" s="173"/>
    </row>
    <row r="3" spans="1:10" ht="25.5" customHeight="1" x14ac:dyDescent="0.2">
      <c r="A3" s="97"/>
      <c r="B3" s="97"/>
      <c r="C3" s="97"/>
      <c r="D3" s="97"/>
      <c r="E3" s="97"/>
      <c r="F3" s="97"/>
      <c r="G3" s="97"/>
      <c r="H3" s="97"/>
      <c r="I3" s="97"/>
      <c r="J3" s="97"/>
    </row>
    <row r="4" spans="1:10" ht="36" customHeight="1" x14ac:dyDescent="0.2">
      <c r="A4" s="98" t="s">
        <v>866</v>
      </c>
      <c r="B4" s="99"/>
      <c r="C4" s="99"/>
      <c r="D4" s="99"/>
      <c r="E4" s="99"/>
      <c r="F4" s="99"/>
      <c r="G4" s="99"/>
      <c r="H4" s="99"/>
      <c r="I4" s="99"/>
      <c r="J4" s="99"/>
    </row>
    <row r="5" spans="1:10" s="266" customFormat="1" ht="19.5" customHeight="1" x14ac:dyDescent="0.2">
      <c r="A5" s="247" t="str">
        <f>HLOOKUP($A$4,'Auto Responses'!$F$2:$F$7,2,0)&amp;""</f>
      </c>
      <c r="B5" s="247"/>
      <c r="C5" s="247"/>
      <c r="D5" s="247"/>
      <c r="E5" s="247"/>
      <c r="F5" s="247"/>
      <c r="G5" s="247"/>
      <c r="H5" s="247"/>
      <c r="I5" s="247"/>
      <c r="J5" s="247"/>
    </row>
    <row r="6" spans="1:10" s="266" customFormat="1" ht="19.5" customHeight="1" x14ac:dyDescent="0.2">
      <c r="A6" s="247" t="str">
        <f>HLOOKUP($A$4,'Auto Responses'!$F$2:$F$7,3,0)&amp;""</f>
      </c>
      <c r="B6" s="247"/>
      <c r="C6" s="247"/>
      <c r="D6" s="247"/>
      <c r="E6" s="247"/>
      <c r="F6" s="247"/>
      <c r="G6" s="247"/>
      <c r="H6" s="247"/>
      <c r="I6" s="247"/>
      <c r="J6" s="247"/>
    </row>
    <row r="7" spans="1:10" s="266" customFormat="1" ht="19.5" customHeight="1" x14ac:dyDescent="0.2">
      <c r="A7" s="247" t="str">
        <f>HLOOKUP($A$4,'Auto Responses'!$F$2:$F$7,4,0)&amp;""</f>
      </c>
      <c r="B7" s="247"/>
      <c r="C7" s="247"/>
      <c r="D7" s="247"/>
      <c r="E7" s="247"/>
      <c r="F7" s="247"/>
      <c r="G7" s="247"/>
      <c r="H7" s="247"/>
      <c r="I7" s="247"/>
      <c r="J7" s="247"/>
    </row>
    <row r="8" spans="1:10" s="266" customFormat="1" ht="19.5" customHeight="1" x14ac:dyDescent="0.2">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2">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25">
      <c r="A10" s="366" t="str">
        <f>HLOOKUP($A$4,'Auto Responses'!$F$2:$F$8,7,0)&amp;""</f>
      </c>
      <c r="B10" s="61"/>
      <c r="C10" s="61"/>
      <c r="D10" s="61"/>
      <c r="E10" s="61"/>
      <c r="F10" s="61"/>
      <c r="G10" s="61"/>
      <c r="H10" s="61"/>
      <c r="I10" s="61"/>
      <c r="J10" s="61"/>
    </row>
    <row r="11" spans="1:10" s="88" customFormat="1" ht="25.5" customHeight="1" x14ac:dyDescent="0.2">
      <c r="A11" s="155" t="str">
        <f>'START HERE'!$B$13</f>
      </c>
      <c r="B11" s="141"/>
      <c r="C11" s="135" t="str">
        <f>VLOOKUP($A11,'START HERE'!$B$13:$C$21,2,0)&amp;""</f>
      </c>
      <c r="D11" s="136"/>
      <c r="E11" s="210"/>
      <c r="F11" s="213"/>
      <c r="G11" s="89"/>
      <c r="H11" s="94"/>
      <c r="I11" s="89"/>
      <c r="J11" s="89"/>
    </row>
    <row r="12" spans="1:10" s="88" customFormat="1" ht="25.5" customHeight="1" x14ac:dyDescent="0.2">
      <c r="A12" s="156" t="str">
        <f>'START HERE'!$B$16</f>
      </c>
      <c r="B12" s="142"/>
      <c r="C12" s="134" t="str">
        <f>VLOOKUP($A12,'START HERE'!$B$13:$C$21,2,0)&amp;""</f>
      </c>
      <c r="D12" s="96"/>
      <c r="E12" s="211"/>
      <c r="F12" s="213"/>
      <c r="G12" s="89"/>
      <c r="H12" s="94"/>
      <c r="I12" s="89"/>
      <c r="J12" s="89"/>
    </row>
    <row r="13" spans="1:10" s="88" customFormat="1" ht="25.5" customHeight="1" x14ac:dyDescent="0.2">
      <c r="A13" s="156" t="str">
        <f>'START HERE'!$B$17</f>
      </c>
      <c r="B13" s="142"/>
      <c r="C13" s="134" t="str">
        <f>VLOOKUP($A13,'START HERE'!$B$13:$C$21,2,0)&amp;""</f>
      </c>
      <c r="D13" s="96"/>
      <c r="E13" s="211"/>
      <c r="F13" s="213"/>
      <c r="G13" s="89"/>
      <c r="H13" s="94"/>
      <c r="I13" s="89"/>
      <c r="J13" s="89"/>
    </row>
    <row r="14" spans="1:10" s="88" customFormat="1" ht="25.5" customHeight="1" x14ac:dyDescent="0.2">
      <c r="A14" s="156" t="str">
        <f>'START HERE'!$B$18</f>
      </c>
      <c r="B14" s="142"/>
      <c r="C14" s="134" t="str">
        <f>VLOOKUP($A14,'START HERE'!$B$13:$C$21,2,0)&amp;""</f>
      </c>
      <c r="D14" s="96"/>
      <c r="E14" s="211"/>
      <c r="F14" s="214"/>
      <c r="G14" s="133"/>
      <c r="H14" s="133"/>
      <c r="I14" s="133"/>
      <c r="J14" s="133"/>
    </row>
    <row r="15" spans="1:10" s="88" customFormat="1" ht="25.5" customHeight="1" x14ac:dyDescent="0.2">
      <c r="A15" s="156" t="str">
        <f>'START HERE'!$B$14</f>
      </c>
      <c r="B15" s="142"/>
      <c r="C15" s="134" t="str">
        <f>VLOOKUP($A15,'START HERE'!$B$13:$C$21,2,0)&amp;""</f>
      </c>
      <c r="D15" s="96"/>
      <c r="E15" s="211"/>
      <c r="F15" s="214"/>
      <c r="G15" s="133"/>
      <c r="H15" s="133"/>
      <c r="I15" s="133"/>
      <c r="J15" s="133"/>
    </row>
    <row r="16" spans="1:10" s="88" customFormat="1" ht="25.5" customHeight="1" x14ac:dyDescent="0.2">
      <c r="A16" s="156" t="str">
        <f>'START HERE'!$B$15</f>
      </c>
      <c r="B16" s="142"/>
      <c r="C16" s="134" t="str">
        <f>VLOOKUP($A16,'START HERE'!$B$13:$C$21,2,0)&amp;""</f>
      </c>
      <c r="D16" s="96"/>
      <c r="E16" s="211"/>
      <c r="F16" s="214"/>
      <c r="G16" s="133"/>
      <c r="H16" s="133"/>
      <c r="I16" s="133"/>
      <c r="J16" s="133"/>
    </row>
    <row r="17" spans="1:11" s="88" customFormat="1" ht="25.5" customHeight="1" thickBot="1" x14ac:dyDescent="0.25">
      <c r="A17" s="157" t="s">
        <v>948</v>
      </c>
      <c r="B17" s="143"/>
      <c r="C17" s="331">
        <f>'START HERE'!$C$3</f>
      </c>
      <c r="D17" s="139"/>
      <c r="E17" s="212"/>
      <c r="F17" s="214"/>
      <c r="G17" s="133"/>
      <c r="H17" s="133"/>
      <c r="I17" s="133"/>
      <c r="J17" s="133"/>
    </row>
    <row r="18" spans="1:11" s="88" customFormat="1" ht="24.75" customHeight="1" x14ac:dyDescent="0.2">
      <c r="A18" s="89"/>
      <c r="B18" s="89"/>
      <c r="C18" s="254"/>
      <c r="D18" s="95"/>
      <c r="E18" s="89"/>
      <c r="F18" s="89"/>
      <c r="G18" s="89"/>
      <c r="H18" s="90"/>
      <c r="I18" s="90"/>
      <c r="J18" s="90"/>
    </row>
    <row r="19" spans="1:11" s="86" customFormat="1" ht="24" customHeight="1" thickBot="1" x14ac:dyDescent="0.25">
      <c r="A19" s="368"/>
      <c r="B19" s="368"/>
      <c r="C19" s="368"/>
      <c r="D19" s="87"/>
    </row>
    <row r="20" spans="1:11" ht="30" customHeight="1" thickBot="1" x14ac:dyDescent="0.25">
      <c r="A20" s="267" t="s">
        <v>1508</v>
      </c>
      <c r="B20" s="82" t="s">
        <v>947</v>
      </c>
      <c r="C20" s="109" t="s">
        <v>1509</v>
      </c>
      <c r="D20" s="81" t="s">
        <v>1510</v>
      </c>
      <c r="E20" s="108" t="s">
        <v>946</v>
      </c>
      <c r="F20" s="108" t="s">
        <v>945</v>
      </c>
      <c r="G20" s="124" t="s">
        <v>1860</v>
      </c>
      <c r="H20" s="125"/>
      <c r="I20" s="126"/>
    </row>
    <row r="21" spans="1:11" s="83" customFormat="1" ht="40.5" customHeight="1" x14ac:dyDescent="0.2">
      <c r="B21" s="84" t="str">
        <f>VLOOKUP($K21,'Auto Responses'!$N$4:$O$38,2,0)&amp;""</f>
        <v xml:space="preserve"> Company Information</v>
      </c>
      <c r="C21" s="116" t="b">
        <v>1</v>
      </c>
      <c r="D21" s="110">
        <f>IF($C21=TRUE,SUMIF('(backend scoring)'!$B$3:$B$333,$K21,'(backend scoring)'!$O$3:$O$333),"")</f>
      </c>
      <c r="E21" s="117">
        <f>IF($C21=TRUE,SUMIF('(backend scoring)'!$B$3:$B$333,$K21,'(backend scoring)'!$P$3:$P$333),"")</f>
      </c>
      <c r="F21" s="145">
        <f>IFERROR($E21/$D21,'Auto Responses'!$J$5)</f>
      </c>
      <c r="G21" s="221">
        <f>$G$20&amp;B21</f>
      </c>
      <c r="H21" s="119"/>
      <c r="I21" s="121"/>
      <c r="K21" s="350" t="s">
        <v>876</v>
      </c>
    </row>
    <row r="22" spans="1:11" s="83" customFormat="1" ht="40.5" customHeight="1" x14ac:dyDescent="0.2">
      <c r="A22" s="260"/>
      <c r="B22" s="84" t="str">
        <f>VLOOKUP($K22,'Auto Responses'!$N$4:$O$38,2,0)&amp;""</f>
        <v xml:space="preserve"> Documentation</v>
      </c>
      <c r="C22" s="116" t="b">
        <v>1</v>
      </c>
      <c r="D22" s="110">
        <f>IF($C22=TRUE,SUMIF('(backend scoring)'!$B$3:$B$333,$K22,'(backend scoring)'!$O$3:$O$333),"")</f>
      </c>
      <c r="E22" s="117">
        <f>IF($C22=TRUE,SUMIF('(backend scoring)'!$B$3:$B$333,$K22,'(backend scoring)'!$P$3:$P$333),"")</f>
      </c>
      <c r="F22" s="144">
        <f>IFERROR($E22/$D22,'Auto Responses'!$J$5)</f>
      </c>
      <c r="G22" s="221">
        <f t="shared" ref="G22:G37" si="0">$G$20&amp;B22</f>
      </c>
      <c r="H22" s="118"/>
      <c r="I22" s="122"/>
      <c r="K22" s="350" t="s">
        <v>880</v>
      </c>
    </row>
    <row r="23" spans="1:11" s="83" customFormat="1" ht="40.5" customHeight="1" x14ac:dyDescent="0.2">
      <c r="A23" s="260"/>
      <c r="B23" s="84" t="str">
        <f>VLOOKUP($K23,'Auto Responses'!$N$4:$O$38,2,0)&amp;""</f>
        <v xml:space="preserve"> Assessment of Third Parties</v>
      </c>
      <c r="C23" s="116" t="b">
        <v>1</v>
      </c>
      <c r="D23" s="110">
        <f>IF($C23=TRUE,SUMIF('(backend scoring)'!$B$3:$B$333,$K23,'(backend scoring)'!$O$3:$O$333),"")</f>
      </c>
      <c r="E23" s="117">
        <f>IF($C23=TRUE,SUMIF('(backend scoring)'!$B$3:$B$333,$K23,'(backend scoring)'!$P$3:$P$333),"")</f>
      </c>
      <c r="F23" s="144">
        <f>IFERROR($E23/$D23,'Auto Responses'!$J$5)</f>
      </c>
      <c r="G23" s="221">
        <f t="shared" si="0"/>
      </c>
      <c r="H23" s="118"/>
      <c r="I23" s="122"/>
      <c r="K23" s="350" t="s">
        <v>884</v>
      </c>
    </row>
    <row r="24" spans="1:11" s="83" customFormat="1" ht="40.5" customHeight="1" x14ac:dyDescent="0.2">
      <c r="B24" s="84">
        <f>VLOOKUP($K24,'Auto Responses'!$N$4:$O$38,2,0)&amp;""</f>
        <v xml:space="preserve"> Change Management</v>
      </c>
      <c r="C24" s="116" t="b">
        <v>1</v>
      </c>
      <c r="D24" s="110">
        <f>IF($C24=TRUE,SUMIF('(backend scoring)'!$B$3:$B$333,$K24,'(backend scoring)'!$O$3:$O$333),"")</f>
      </c>
      <c r="E24" s="117">
        <f>IF($C24=TRUE,SUMIF('(backend scoring)'!$B$3:$B$333,$K24,'(backend scoring)'!$P$3:$P$333),"")</f>
      </c>
      <c r="F24" s="144">
        <f>IFERROR($E24/$D24,'Auto Responses'!$J$5)</f>
      </c>
      <c r="G24" s="221">
        <f t="shared" si="0"/>
      </c>
      <c r="H24" s="118"/>
      <c r="I24" s="122"/>
      <c r="K24" s="350" t="s">
        <v>891</v>
      </c>
    </row>
    <row r="25" spans="1:11" s="83" customFormat="1" ht="40.5" customHeight="1" x14ac:dyDescent="0.2">
      <c r="B25" s="84">
        <f>VLOOKUP($K25,'Auto Responses'!$N$4:$O$38,2,0)&amp;""</f>
        <v xml:space="preserve"> Policies, Processes, and Procedures</v>
      </c>
      <c r="C25" s="116" t="b">
        <v>1</v>
      </c>
      <c r="D25" s="110">
        <f>IF($C25=TRUE,SUMIF('(backend scoring)'!$B$3:$B$333,$K25,'(backend scoring)'!$O$3:$O$333),"")</f>
      </c>
      <c r="E25" s="117">
        <f>IF($C25=TRUE,SUMIF('(backend scoring)'!$B$3:$B$333,$K25,'(backend scoring)'!$P$3:$P$333),"")</f>
      </c>
      <c r="F25" s="144">
        <f>IFERROR($E25/$D25,'Auto Responses'!$J$5)</f>
      </c>
      <c r="G25" s="221">
        <f t="shared" si="0"/>
      </c>
      <c r="H25" s="118"/>
      <c r="I25" s="122"/>
      <c r="K25" s="350" t="s">
        <v>898</v>
      </c>
    </row>
    <row r="26" spans="1:11" s="83" customFormat="1" ht="40.5" customHeight="1" x14ac:dyDescent="0.2">
      <c r="B26" s="84">
        <f>VLOOKUP($K26,'Auto Responses'!$N$4:$O$38,2,0)&amp;""</f>
        <v xml:space="preserve"> Authentication, Authorization, and Account Management</v>
      </c>
      <c r="C26" s="116" t="b">
        <v>1</v>
      </c>
      <c r="D26" s="110">
        <f>IF($C26=TRUE,SUMIF('(backend scoring)'!$B$3:$B$333,$K26,'(backend scoring)'!$O$3:$O$333),"")</f>
      </c>
      <c r="E26" s="117">
        <f>IF($C26=TRUE,SUMIF('(backend scoring)'!$B$3:$B$333,$K26,'(backend scoring)'!$P$3:$P$333),"")</f>
      </c>
      <c r="F26" s="144">
        <f>IFERROR($E26/$D26,'Auto Responses'!$J$5)</f>
      </c>
      <c r="G26" s="221">
        <f t="shared" si="0"/>
      </c>
      <c r="H26" s="118"/>
      <c r="I26" s="122"/>
      <c r="K26" s="350" t="s">
        <v>890</v>
      </c>
    </row>
    <row r="27" spans="1:11" s="83" customFormat="1" ht="40.5" customHeight="1" x14ac:dyDescent="0.2">
      <c r="B27" s="84">
        <f>VLOOKUP($K27,'Auto Responses'!$N$4:$O$38,2,0)&amp;""</f>
        <v xml:space="preserve"> Data</v>
      </c>
      <c r="C27" s="116" t="b">
        <v>1</v>
      </c>
      <c r="D27" s="110">
        <f>IF($C27=TRUE,SUMIF('(backend scoring)'!$B$3:$B$333,$K27,'(backend scoring)'!$O$3:$O$333),"")</f>
      </c>
      <c r="E27" s="117">
        <f>IF($C27=TRUE,SUMIF('(backend scoring)'!$B$3:$B$333,$K27,'(backend scoring)'!$P$3:$P$333),"")</f>
      </c>
      <c r="F27" s="144">
        <f>IFERROR($E27/$D27,'Auto Responses'!$J$5)</f>
      </c>
      <c r="G27" s="221">
        <f t="shared" si="0"/>
      </c>
      <c r="H27" s="118"/>
      <c r="I27" s="122"/>
      <c r="K27" s="350" t="s">
        <v>893</v>
      </c>
    </row>
    <row r="28" spans="1:11" s="83" customFormat="1" ht="40.5" customHeight="1" x14ac:dyDescent="0.2">
      <c r="B28" s="84">
        <f>VLOOKUP($K28,'Auto Responses'!$N$4:$O$38,2,0)&amp;""</f>
        <v xml:space="preserve"> Application/Service Security</v>
      </c>
      <c r="C28" s="116" t="b">
        <v>1</v>
      </c>
      <c r="D28" s="110">
        <f>IF($C28=TRUE,SUMIF('(backend scoring)'!$B$3:$B$333,$K28,'(backend scoring)'!$O$3:$O$333),"")</f>
      </c>
      <c r="E28" s="117">
        <f>IF($C28=TRUE,SUMIF('(backend scoring)'!$B$3:$B$333,$K28,'(backend scoring)'!$P$3:$P$333),"")</f>
      </c>
      <c r="F28" s="144">
        <f>IFERROR($E28/$D28,'Auto Responses'!$J$5)</f>
      </c>
      <c r="G28" s="221">
        <f t="shared" si="0"/>
      </c>
      <c r="H28" s="118"/>
      <c r="I28" s="122"/>
      <c r="K28" s="350" t="s">
        <v>888</v>
      </c>
    </row>
    <row r="29" spans="1:11" s="83" customFormat="1" ht="40.5" customHeight="1" x14ac:dyDescent="0.2">
      <c r="B29" s="84">
        <f>VLOOKUP($K29,'Auto Responses'!$N$4:$O$38,2,0)&amp;""</f>
        <v xml:space="preserve"> Datacenter</v>
      </c>
      <c r="C29" s="116" t="b">
        <v>1</v>
      </c>
      <c r="D29" s="110">
        <f>IF($C29=TRUE,SUMIF('(backend scoring)'!$B$3:$B$333,$K29,'(backend scoring)'!$O$3:$O$333),"")</f>
      </c>
      <c r="E29" s="117">
        <f>IF($C29=TRUE,SUMIF('(backend scoring)'!$B$3:$B$333,$K29,'(backend scoring)'!$P$3:$P$333),"")</f>
      </c>
      <c r="F29" s="144">
        <f>IFERROR($E29/$D29,'Auto Responses'!$J$5)</f>
      </c>
      <c r="G29" s="221">
        <f t="shared" si="0"/>
      </c>
      <c r="H29" s="118"/>
      <c r="I29" s="122"/>
      <c r="K29" s="350" t="s">
        <v>895</v>
      </c>
    </row>
    <row r="30" spans="1:11" s="83" customFormat="1" ht="40.5" customHeight="1" x14ac:dyDescent="0.2">
      <c r="B30" s="84">
        <f>VLOOKUP($K30,'Auto Responses'!$N$4:$O$38,2,0)&amp;""</f>
        <v xml:space="preserve"> Firewalls, IDS, IPS, and Networking</v>
      </c>
      <c r="C30" s="116" t="b">
        <v>1</v>
      </c>
      <c r="D30" s="110">
        <f>IF($C30=TRUE,SUMIF('(backend scoring)'!$B$3:$B$333,$K30,'(backend scoring)'!$O$3:$O$333),"")</f>
      </c>
      <c r="E30" s="117">
        <f>IF($C30=TRUE,SUMIF('(backend scoring)'!$B$3:$B$333,$K30,'(backend scoring)'!$P$3:$P$333),"")</f>
      </c>
      <c r="F30" s="144">
        <f>IFERROR($E30/$D30,'Auto Responses'!$J$5)</f>
      </c>
      <c r="G30" s="221">
        <f t="shared" si="0"/>
      </c>
      <c r="H30" s="118"/>
      <c r="I30" s="122"/>
      <c r="K30" s="350" t="s">
        <v>897</v>
      </c>
    </row>
    <row r="31" spans="1:11" s="83" customFormat="1" ht="40.5" customHeight="1" x14ac:dyDescent="0.2">
      <c r="B31" s="84">
        <f>VLOOKUP($K31,'Auto Responses'!$N$4:$O$38,2,0)&amp;""</f>
        <v xml:space="preserve"> Incident Handling</v>
      </c>
      <c r="C31" s="116" t="b">
        <v>1</v>
      </c>
      <c r="D31" s="110">
        <f>IF($C31=TRUE,SUMIF('(backend scoring)'!$B$3:$B$333,$K31,'(backend scoring)'!$O$3:$O$333),"")</f>
      </c>
      <c r="E31" s="117">
        <f>IF($C31=TRUE,SUMIF('(backend scoring)'!$B$3:$B$333,$K31,'(backend scoring)'!$P$3:$P$333),"")</f>
      </c>
      <c r="F31" s="144">
        <f>IFERROR($E31/$D31,'Auto Responses'!$J$5)</f>
      </c>
      <c r="G31" s="221">
        <f t="shared" si="0"/>
      </c>
      <c r="H31" s="118"/>
      <c r="I31" s="122"/>
      <c r="K31" s="350" t="s">
        <v>900</v>
      </c>
    </row>
    <row r="32" spans="1:11" s="83" customFormat="1" ht="40.5" customHeight="1" x14ac:dyDescent="0.2">
      <c r="B32" s="84">
        <f>VLOOKUP($K32,'Auto Responses'!$N$4:$O$38,2,0)&amp;""</f>
        <v xml:space="preserve"> Vulnerability Management</v>
      </c>
      <c r="C32" s="116" t="b">
        <v>1</v>
      </c>
      <c r="D32" s="110">
        <f>IF($C32=TRUE,SUMIF('(backend scoring)'!$B$3:$B$333,$K32,'(backend scoring)'!$O$3:$O$333),"")</f>
      </c>
      <c r="E32" s="117">
        <f>IF($C32=TRUE,SUMIF('(backend scoring)'!$B$3:$B$333,$K32,'(backend scoring)'!$P$3:$P$333),"")</f>
      </c>
      <c r="F32" s="144">
        <f>IFERROR($E32/$D32,'Auto Responses'!$J$5)</f>
      </c>
      <c r="G32" s="221">
        <f t="shared" si="0"/>
      </c>
      <c r="H32" s="118"/>
      <c r="I32" s="122"/>
      <c r="K32" s="350" t="s">
        <v>902</v>
      </c>
    </row>
    <row r="33" spans="1:13" s="83" customFormat="1" ht="40.5" customHeight="1" x14ac:dyDescent="0.2">
      <c r="B33" s="84">
        <f>VLOOKUP($K33,'Auto Responses'!$N$4:$O$38,2,0)&amp;""</f>
        <v xml:space="preserve"> Consulting Services</v>
      </c>
      <c r="C33" s="116" t="b">
        <v>1</v>
      </c>
      <c r="D33" s="110">
        <f>IF($C33=TRUE,SUMIF('(backend scoring)'!$B$3:$B$333,$K33,'(backend scoring)'!$O$3:$O$333),"")</f>
      </c>
      <c r="E33" s="117">
        <f>IF($C33=TRUE,SUMIF('(backend scoring)'!$B$3:$B$333,$K33,'(backend scoring)'!$P$3:$P$333),"")</f>
      </c>
      <c r="F33" s="144">
        <f>IFERROR($E33/$D33,'Auto Responses'!$J$5)</f>
      </c>
      <c r="G33" s="221">
        <f t="shared" si="0"/>
      </c>
      <c r="H33" s="118"/>
      <c r="I33" s="122"/>
      <c r="K33" s="350" t="s">
        <v>886</v>
      </c>
    </row>
    <row r="34" spans="1:13" s="83" customFormat="1" ht="40.5" customHeight="1" x14ac:dyDescent="0.2">
      <c r="B34" s="84">
        <f>VLOOKUP($K34,'Auto Responses'!$N$4:$O$38,2,0)&amp;""</f>
        <v xml:space="preserve">HIPAA Compliance </v>
      </c>
      <c r="C34" s="116" t="b">
        <v>1</v>
      </c>
      <c r="D34" s="110">
        <f>IF($C34=TRUE,SUMIF('(backend scoring)'!$B$3:$B$333,$K34,'(backend scoring)'!$O$3:$O$333),"")</f>
      </c>
      <c r="E34" s="117">
        <f>IF($C34=TRUE,SUMIF('(backend scoring)'!$B$3:$B$333,$K34,'(backend scoring)'!$P$3:$P$333),"")</f>
      </c>
      <c r="F34" s="144">
        <f>IFERROR($E34/$D34,'Auto Responses'!$J$5)</f>
      </c>
      <c r="G34" s="221">
        <f t="shared" si="0"/>
        <v xml:space="preserve">Jump toHIPAA Compliance </v>
      </c>
      <c r="H34" s="118"/>
      <c r="I34" s="122"/>
      <c r="K34" s="350" t="s">
        <v>904</v>
      </c>
    </row>
    <row r="35" spans="1:13" s="83" customFormat="1" ht="40.5" customHeight="1" x14ac:dyDescent="0.2">
      <c r="B35" s="84">
        <f>VLOOKUP($K35,'Auto Responses'!$N$4:$O$38,2,0)&amp;""</f>
        <v xml:space="preserve"> Payment Card Industry Data Security Standard (PCI DSS)</v>
      </c>
      <c r="C35" s="116" t="b">
        <v>1</v>
      </c>
      <c r="D35" s="110">
        <f>IF($C35=TRUE,SUMIF('(backend scoring)'!$B$3:$B$333,$K35,'(backend scoring)'!$O$3:$O$333),"")</f>
      </c>
      <c r="E35" s="117">
        <f>IF($C35=TRUE,SUMIF('(backend scoring)'!$B$3:$B$333,$K35,'(backend scoring)'!$P$3:$P$333),"")</f>
      </c>
      <c r="F35" s="144">
        <f>IFERROR($E35/$D35,'Auto Responses'!$J$5)</f>
      </c>
      <c r="G35" s="221">
        <f t="shared" si="0"/>
      </c>
      <c r="H35" s="118"/>
      <c r="I35" s="122"/>
      <c r="K35" s="350" t="s">
        <v>905</v>
      </c>
    </row>
    <row r="36" spans="1:13" s="83" customFormat="1" ht="40.5" customHeight="1" x14ac:dyDescent="0.2">
      <c r="B36" s="84">
        <f>VLOOKUP($K36,'Auto Responses'!$N$4:$O$38,2,0)&amp;""</f>
        <v xml:space="preserve"> On-Premises Data Solutions</v>
      </c>
      <c r="C36" s="116" t="b">
        <v>1</v>
      </c>
      <c r="D36" s="110">
        <f>IF($C36=TRUE,SUMIF('(backend scoring)'!$B$3:$B$333,$K36,'(backend scoring)'!$O$3:$O$333),"")</f>
      </c>
      <c r="E36" s="117">
        <f>IF($C36=TRUE,SUMIF('(backend scoring)'!$B$3:$B$333,$K36,'(backend scoring)'!$P$3:$P$333),"")</f>
      </c>
      <c r="F36" s="144">
        <f>IFERROR($E36/$D36,'Auto Responses'!$J$5)</f>
      </c>
      <c r="G36" s="221">
        <f t="shared" si="0"/>
      </c>
      <c r="H36" s="118"/>
      <c r="I36" s="122"/>
      <c r="K36" s="350" t="s">
        <v>906</v>
      </c>
    </row>
    <row r="37" spans="1:13" s="83" customFormat="1" ht="40.5" customHeight="1" x14ac:dyDescent="0.2">
      <c r="B37" s="84">
        <f>VLOOKUP($K37,'Auto Responses'!$N$4:$O$38,2,0)&amp;""</f>
        <v xml:space="preserve"> IT Accessibility</v>
      </c>
      <c r="C37" s="116" t="b">
        <v>1</v>
      </c>
      <c r="D37" s="110">
        <f>IF($C37=TRUE,SUMIF('(backend scoring)'!$B$3:$B$333,$K37,'(backend scoring)'!$O$3:$O$333),"")</f>
      </c>
      <c r="E37" s="117">
        <f>IF($C37=TRUE,SUMIF('(backend scoring)'!$B$3:$B$333,$K37,'(backend scoring)'!$P$3:$P$333),"")</f>
      </c>
      <c r="F37" s="144">
        <f>IFERROR($E37/$D37,'Auto Responses'!$J$5)</f>
      </c>
      <c r="G37" s="221">
        <f t="shared" si="0"/>
      </c>
      <c r="H37" s="118"/>
      <c r="I37" s="122"/>
      <c r="K37" s="350" t="s">
        <v>882</v>
      </c>
    </row>
    <row r="38" spans="1:13" s="83" customFormat="1" ht="40.5" customHeight="1" x14ac:dyDescent="0.2">
      <c r="B38" s="84" t="s">
        <v>1051</v>
      </c>
      <c r="C38" s="116" t="b">
        <v>1</v>
      </c>
      <c r="D38" s="150">
        <f>IF($C38=TRUE,SUMIF('(backend scoring)'!$E$3:$E$333,'Auto Responses'!$L$20,'(backend scoring)'!$O$3:$O$333),"")</f>
      </c>
      <c r="E38" s="150">
        <f>IF($C38=TRUE,SUMIF('(backend scoring)'!$E$3:$E$333,'Auto Responses'!$L$20,'(backend scoring)'!$P$3:$P$333),"")</f>
      </c>
      <c r="F38" s="144">
        <f>IFERROR($E38/$D38,'Auto Responses'!$J$5)</f>
      </c>
      <c r="G38" s="222">
        <f>"Jump to AI Questions"</f>
      </c>
      <c r="H38" s="118"/>
      <c r="I38" s="122"/>
    </row>
    <row r="39" spans="1:13" s="83" customFormat="1" ht="40.5" customHeight="1" thickBot="1" x14ac:dyDescent="0.25">
      <c r="B39" s="146" t="s">
        <v>1052</v>
      </c>
      <c r="C39" s="147" t="b">
        <v>1</v>
      </c>
      <c r="D39" s="148">
        <f>IF($C39=TRUE,'Privacy Analyst Evaluation'!$D$31,"")</f>
      </c>
      <c r="E39" s="148">
        <f>IF($C39=TRUE,'Privacy Analyst Evaluation'!$E$31,"")</f>
      </c>
      <c r="F39" s="149">
        <f>IFERROR($E39/$D39,'Auto Responses'!$J$5)</f>
      </c>
      <c r="G39" s="223">
        <f>"Jump to Privacy Scorecard"</f>
      </c>
      <c r="H39" s="120"/>
      <c r="I39" s="123"/>
    </row>
    <row r="40" spans="1:13" s="83" customFormat="1" ht="30" customHeight="1" thickBot="1" x14ac:dyDescent="0.2">
      <c r="B40" s="82" t="s">
        <v>944</v>
      </c>
      <c r="C40" s="109"/>
      <c r="D40" s="111">
        <f>SUM(D21:D39)</f>
      </c>
      <c r="E40" s="111">
        <f>SUM(E21:E39)</f>
      </c>
      <c r="F40" s="80">
        <f>IFERROR(E40/D40,'Auto Responses'!$J$5)</f>
      </c>
      <c r="G40" s="127"/>
      <c r="H40" s="128"/>
      <c r="I40" s="129"/>
      <c r="J40" s="235" t="s">
        <v>1448</v>
      </c>
    </row>
    <row r="41" spans="1:13" ht="17" x14ac:dyDescent="0.2">
      <c r="F41" s="55" t="s">
        <v>943</v>
      </c>
    </row>
    <row r="42" spans="1:13" ht="16" x14ac:dyDescent="0.2"/>
    <row r="43" spans="1:13" ht="15" customHeight="1" x14ac:dyDescent="0.2"/>
    <row r="44" spans="1:13" s="23" customFormat="1" ht="36" customHeight="1" x14ac:dyDescent="0.15">
      <c r="A44" s="174" t="s">
        <v>870</v>
      </c>
      <c r="B44" s="174"/>
      <c r="C44" s="178"/>
      <c r="D44" s="174"/>
      <c r="E44" s="174"/>
      <c r="F44" s="174"/>
      <c r="G44" s="174"/>
      <c r="H44" s="174"/>
      <c r="I44" s="174"/>
      <c r="J44" s="174"/>
      <c r="K44" s="174"/>
      <c r="L44" s="55"/>
      <c r="M44" s="1"/>
    </row>
    <row r="45" spans="1:13" s="23" customFormat="1" ht="36" customHeight="1" x14ac:dyDescent="0.15">
      <c r="A45" s="24" t="s">
        <v>850</v>
      </c>
      <c r="B45" s="24"/>
      <c r="C45" s="68"/>
      <c r="D45" s="24"/>
      <c r="E45" s="24"/>
      <c r="F45" s="24"/>
      <c r="G45" s="24"/>
      <c r="H45" s="24"/>
      <c r="I45" s="24"/>
      <c r="J45" s="24"/>
      <c r="K45" s="24"/>
      <c r="L45" s="55"/>
      <c r="M45" s="1"/>
    </row>
    <row r="46" spans="1:13" s="1" customFormat="1" ht="36" customHeight="1" x14ac:dyDescent="0.15">
      <c r="A46" s="11" t="s">
        <v>866</v>
      </c>
      <c r="B46" s="12"/>
      <c r="C46" s="13"/>
      <c r="D46" s="14"/>
      <c r="E46" s="14"/>
      <c r="F46" s="15"/>
      <c r="G46" s="15"/>
      <c r="H46" s="15"/>
      <c r="I46" s="15"/>
      <c r="J46" s="15"/>
      <c r="K46" s="15"/>
      <c r="L46" s="55"/>
    </row>
    <row r="47" spans="1:13" s="1" customFormat="1" ht="19.5" customHeight="1" x14ac:dyDescent="0.15">
      <c r="A47" s="247" t="str">
        <f>HLOOKUP($A$4,'Auto Responses'!$F$2:$F$7,2,0)&amp;""</f>
      </c>
      <c r="B47" s="61"/>
      <c r="C47" s="61"/>
      <c r="D47" s="61"/>
      <c r="E47" s="61"/>
      <c r="F47" s="61"/>
      <c r="G47" s="61"/>
      <c r="H47" s="61"/>
      <c r="I47" s="61"/>
      <c r="J47" s="61"/>
      <c r="K47" s="16"/>
      <c r="L47" s="55"/>
    </row>
    <row r="48" spans="1:13" s="1" customFormat="1" ht="19.5" customHeight="1" x14ac:dyDescent="0.15">
      <c r="A48" s="247" t="str">
        <f>HLOOKUP($A$4,'Auto Responses'!$F$2:$F$7,3,0)&amp;""</f>
      </c>
      <c r="B48" s="61"/>
      <c r="C48" s="61"/>
      <c r="D48" s="61"/>
      <c r="E48" s="61"/>
      <c r="F48" s="61"/>
      <c r="G48" s="61"/>
      <c r="H48" s="61"/>
      <c r="I48" s="61"/>
      <c r="J48" s="61"/>
      <c r="K48" s="16"/>
      <c r="L48" s="55"/>
    </row>
    <row r="49" spans="1:13" s="1" customFormat="1" ht="19.5" customHeight="1" x14ac:dyDescent="0.15">
      <c r="A49" s="247" t="str">
        <f>HLOOKUP($A$4,'Auto Responses'!$F$2:$F$7,4,0)&amp;""</f>
      </c>
      <c r="B49" s="61"/>
      <c r="C49" s="61"/>
      <c r="D49" s="61"/>
      <c r="E49" s="61"/>
      <c r="F49" s="61"/>
      <c r="G49" s="61"/>
      <c r="H49" s="61"/>
      <c r="I49" s="61"/>
      <c r="J49" s="61"/>
      <c r="K49" s="16"/>
      <c r="L49" s="55"/>
    </row>
    <row r="50" spans="1:13" s="1" customFormat="1" ht="19.5" customHeight="1" x14ac:dyDescent="0.15">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15">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2">
      <c r="A52" s="366" t="str">
        <f>HLOOKUP($A$4,'Auto Responses'!$F$2:$F$8,7,0)&amp;""</f>
      </c>
      <c r="B52" s="61"/>
      <c r="C52" s="61"/>
      <c r="D52" s="61"/>
      <c r="E52" s="61"/>
      <c r="F52" s="61"/>
      <c r="G52" s="61"/>
      <c r="H52" s="61"/>
      <c r="I52" s="61"/>
      <c r="J52" s="61"/>
      <c r="K52" s="16"/>
      <c r="L52" s="55"/>
    </row>
    <row r="53" spans="1:13" s="23" customFormat="1" ht="41.25" customHeight="1" thickBot="1" x14ac:dyDescent="0.2">
      <c r="A53" s="25"/>
      <c r="B53" s="25"/>
      <c r="C53" s="69"/>
      <c r="D53" s="25"/>
      <c r="E53" s="25"/>
      <c r="F53" s="188" t="s">
        <v>849</v>
      </c>
      <c r="G53" s="181" t="s">
        <v>1033</v>
      </c>
      <c r="H53" s="182"/>
      <c r="I53" s="182"/>
      <c r="J53" s="182"/>
      <c r="K53" s="182"/>
      <c r="L53" s="55"/>
      <c r="M53" s="1"/>
    </row>
    <row r="54" spans="1:13" s="29" customFormat="1" ht="63" customHeight="1" thickBot="1" x14ac:dyDescent="0.2">
      <c r="A54" s="26" t="s">
        <v>851</v>
      </c>
      <c r="B54" s="27" t="s">
        <v>1</v>
      </c>
      <c r="C54" s="27" t="s">
        <v>1495</v>
      </c>
      <c r="D54" s="28" t="s">
        <v>72</v>
      </c>
      <c r="E54" s="301" t="s">
        <v>848</v>
      </c>
      <c r="F54" s="189" t="s">
        <v>1466</v>
      </c>
      <c r="G54" s="46" t="s">
        <v>869</v>
      </c>
      <c r="H54" s="43" t="s">
        <v>871</v>
      </c>
      <c r="I54" s="43" t="s">
        <v>19</v>
      </c>
      <c r="J54" s="44" t="s">
        <v>856</v>
      </c>
      <c r="K54" s="47" t="s">
        <v>867</v>
      </c>
      <c r="L54" s="55"/>
      <c r="M54" s="1"/>
    </row>
    <row r="55" spans="1:13" s="1" customFormat="1" ht="18" x14ac:dyDescent="0.15">
      <c r="A55" s="63" t="str">
        <f>VLOOKUP(LEFT($A56,4),'Auto Responses'!$N$4:$O$38,2,0)&amp;""</f>
        <v xml:space="preserve"> General Information</v>
      </c>
      <c r="B55" s="22"/>
      <c r="C55" s="31"/>
      <c r="D55" s="31"/>
      <c r="E55" s="322"/>
      <c r="F55" s="361" t="s">
        <v>1030</v>
      </c>
      <c r="G55" s="31"/>
      <c r="H55" s="31"/>
      <c r="I55" s="31"/>
      <c r="J55" s="31"/>
      <c r="K55" s="31"/>
      <c r="L55" s="55"/>
    </row>
    <row r="56" spans="1:13" s="29" customFormat="1" ht="17" x14ac:dyDescent="0.15">
      <c r="A56" s="19" t="str">
        <f>'START HERE'!$A$13</f>
      </c>
      <c r="B56" s="20">
        <f>VLOOKUP($A56,'START HERE'!$A$13:$E$36,2,0)&amp;""</f>
      </c>
      <c r="C56" s="297">
        <f>VLOOKUP($A56,'START HERE'!$A$13:$E$36,3,0)&amp;""</f>
      </c>
      <c r="D56" s="300">
        <f>IF(LEFT(VLOOKUP($A56,'START HERE'!$A$13:$E$36,5,0),21)='Auto Responses'!$A$32,'Auto Responses'!$A$33,VLOOKUP($A56,'START HERE'!$A$13:$E$36,4,0))&amp;""</f>
      </c>
      <c r="E56" s="362">
        <f>VLOOKUP($A56,'START HERE'!$A$13:$E$36,5,0)&amp;""</f>
      </c>
      <c r="F56" s="191"/>
      <c r="G56" s="30" t="str">
        <f>VLOOKUP($A56,Questions!$A$2:$X$333,21,0)&amp;""</f>
      </c>
      <c r="H56" s="184"/>
      <c r="I56" s="45" t="str">
        <f>VLOOKUP($A56,Questions!$A$2:$X$333,23,0)&amp;""</f>
      </c>
      <c r="J56" s="184"/>
      <c r="K56" s="74"/>
      <c r="L56" s="55"/>
      <c r="M56" s="1"/>
    </row>
    <row r="57" spans="1:13" s="29" customFormat="1" ht="17" x14ac:dyDescent="0.15">
      <c r="A57" s="19" t="str">
        <f>'START HERE'!$A$14</f>
      </c>
      <c r="B57" s="20">
        <f>VLOOKUP($A57,'START HERE'!$A$13:$E$36,2,0)&amp;""</f>
      </c>
      <c r="C57" s="297">
        <f>VLOOKUP($A57,'START HERE'!$A$13:$E$36,3,0)&amp;""</f>
      </c>
      <c r="D57" s="300">
        <f>IF(LEFT(VLOOKUP($A57,'START HERE'!$A$13:$E$36,5,0),21)='Auto Responses'!$A$32,'Auto Responses'!$A$33,VLOOKUP($A57,'START HERE'!$A$13:$E$36,4,0))&amp;""</f>
      </c>
      <c r="E57" s="362">
        <f>VLOOKUP($A57,'START HERE'!$A$13:$E$36,5,0)&amp;""</f>
      </c>
      <c r="F57" s="191"/>
      <c r="G57" s="30" t="str">
        <f>VLOOKUP($A57,Questions!$A$2:$X$333,21,0)&amp;""</f>
      </c>
      <c r="H57" s="184"/>
      <c r="I57" s="45" t="str">
        <f>VLOOKUP($A57,Questions!$A$2:$X$333,23,0)&amp;""</f>
      </c>
      <c r="J57" s="184"/>
      <c r="K57" s="74"/>
      <c r="L57" s="55"/>
      <c r="M57" s="1"/>
    </row>
    <row r="58" spans="1:13" s="29" customFormat="1" ht="17" x14ac:dyDescent="0.15">
      <c r="A58" s="19" t="str">
        <f>'START HERE'!$A$15</f>
      </c>
      <c r="B58" s="20">
        <f>VLOOKUP($A58,'START HERE'!$A$13:$E$36,2,0)&amp;""</f>
      </c>
      <c r="C58" s="297">
        <f>VLOOKUP($A58,'START HERE'!$A$13:$E$36,3,0)&amp;""</f>
      </c>
      <c r="D58" s="300">
        <f>IF(LEFT(VLOOKUP($A58,'START HERE'!$A$13:$E$36,5,0),21)='Auto Responses'!$A$32,'Auto Responses'!$A$33,VLOOKUP($A58,'START HERE'!$A$13:$E$36,4,0))&amp;""</f>
      </c>
      <c r="E58" s="362">
        <f>VLOOKUP($A58,'START HERE'!$A$13:$E$36,5,0)&amp;""</f>
      </c>
      <c r="F58" s="191"/>
      <c r="G58" s="30" t="str">
        <f>VLOOKUP($A58,Questions!$A$2:$X$333,21,0)&amp;""</f>
      </c>
      <c r="H58" s="184"/>
      <c r="I58" s="45" t="str">
        <f>VLOOKUP($A58,Questions!$A$2:$X$333,23,0)&amp;""</f>
      </c>
      <c r="J58" s="184"/>
      <c r="K58" s="74"/>
      <c r="L58" s="55"/>
      <c r="M58" s="1"/>
    </row>
    <row r="59" spans="1:13" s="29" customFormat="1" ht="17" x14ac:dyDescent="0.15">
      <c r="A59" s="19" t="str">
        <f>'START HERE'!$A$16</f>
      </c>
      <c r="B59" s="20">
        <f>VLOOKUP($A59,'START HERE'!$A$13:$E$36,2,0)&amp;""</f>
      </c>
      <c r="C59" s="297">
        <f>VLOOKUP($A59,'START HERE'!$A$13:$E$36,3,0)&amp;""</f>
      </c>
      <c r="D59" s="300">
        <f>IF(LEFT(VLOOKUP($A59,'START HERE'!$A$13:$E$36,5,0),21)='Auto Responses'!$A$32,'Auto Responses'!$A$33,VLOOKUP($A59,'START HERE'!$A$13:$E$36,4,0))&amp;""</f>
      </c>
      <c r="E59" s="362">
        <f>VLOOKUP($A59,'START HERE'!$A$13:$E$36,5,0)&amp;""</f>
      </c>
      <c r="F59" s="191"/>
      <c r="G59" s="30" t="str">
        <f>VLOOKUP($A59,Questions!$A$2:$X$333,21,0)&amp;""</f>
      </c>
      <c r="H59" s="184"/>
      <c r="I59" s="45" t="str">
        <f>VLOOKUP($A59,Questions!$A$2:$X$333,23,0)&amp;""</f>
      </c>
      <c r="J59" s="184"/>
      <c r="K59" s="74"/>
      <c r="L59" s="55"/>
      <c r="M59" s="1"/>
    </row>
    <row r="60" spans="1:13" s="29" customFormat="1" ht="17" x14ac:dyDescent="0.15">
      <c r="A60" s="19" t="str">
        <f>'START HERE'!$A$17</f>
      </c>
      <c r="B60" s="20">
        <f>VLOOKUP($A60,'START HERE'!$A$13:$E$36,2,0)&amp;""</f>
      </c>
      <c r="C60" s="297">
        <f>VLOOKUP($A60,'START HERE'!$A$13:$E$36,3,0)&amp;""</f>
      </c>
      <c r="D60" s="300">
        <f>IF(LEFT(VLOOKUP($A60,'START HERE'!$A$13:$E$36,5,0),21)='Auto Responses'!$A$32,'Auto Responses'!$A$33,VLOOKUP($A60,'START HERE'!$A$13:$E$36,4,0))&amp;""</f>
      </c>
      <c r="E60" s="362">
        <f>VLOOKUP($A60,'START HERE'!$A$13:$E$36,5,0)&amp;""</f>
      </c>
      <c r="F60" s="191"/>
      <c r="G60" s="30" t="str">
        <f>VLOOKUP($A60,Questions!$A$2:$X$333,21,0)&amp;""</f>
      </c>
      <c r="H60" s="184"/>
      <c r="I60" s="45" t="str">
        <f>VLOOKUP($A60,Questions!$A$2:$X$333,23,0)&amp;""</f>
      </c>
      <c r="J60" s="184"/>
      <c r="K60" s="74"/>
      <c r="L60" s="55"/>
      <c r="M60" s="1"/>
    </row>
    <row r="61" spans="1:13" s="29" customFormat="1" ht="17" x14ac:dyDescent="0.15">
      <c r="A61" s="19" t="str">
        <f>'START HERE'!$A$18</f>
      </c>
      <c r="B61" s="20">
        <f>VLOOKUP($A61,'START HERE'!$A$13:$E$36,2,0)&amp;""</f>
      </c>
      <c r="C61" s="297">
        <f>VLOOKUP($A61,'START HERE'!$A$13:$E$36,3,0)&amp;""</f>
      </c>
      <c r="D61" s="300">
        <f>IF(LEFT(VLOOKUP($A61,'START HERE'!$A$13:$E$36,5,0),21)='Auto Responses'!$A$32,'Auto Responses'!$A$33,VLOOKUP($A61,'START HERE'!$A$13:$E$36,4,0))&amp;""</f>
      </c>
      <c r="E61" s="362">
        <f>VLOOKUP($A61,'START HERE'!$A$13:$E$36,5,0)&amp;""</f>
      </c>
      <c r="F61" s="191"/>
      <c r="G61" s="30" t="str">
        <f>VLOOKUP($A61,Questions!$A$2:$X$333,21,0)&amp;""</f>
      </c>
      <c r="H61" s="184"/>
      <c r="I61" s="45" t="str">
        <f>VLOOKUP($A61,Questions!$A$2:$X$333,23,0)&amp;""</f>
      </c>
      <c r="J61" s="184"/>
      <c r="K61" s="74"/>
      <c r="L61" s="55"/>
      <c r="M61" s="1"/>
    </row>
    <row r="62" spans="1:13" s="29" customFormat="1" ht="17" x14ac:dyDescent="0.15">
      <c r="A62" s="19" t="str">
        <f>'START HERE'!$A$19</f>
      </c>
      <c r="B62" s="20">
        <f>VLOOKUP($A62,'START HERE'!$A$13:$E$36,2,0)&amp;""</f>
      </c>
      <c r="C62" s="297">
        <f>VLOOKUP($A62,'START HERE'!$A$13:$E$36,3,0)&amp;""</f>
      </c>
      <c r="D62" s="300">
        <f>IF(LEFT(VLOOKUP($A62,'START HERE'!$A$13:$E$36,5,0),21)='Auto Responses'!$A$32,'Auto Responses'!$A$33,VLOOKUP($A62,'START HERE'!$A$13:$E$36,4,0))&amp;""</f>
      </c>
      <c r="E62" s="362">
        <f>VLOOKUP($A62,'START HERE'!$A$13:$E$36,5,0)&amp;""</f>
      </c>
      <c r="F62" s="191"/>
      <c r="G62" s="30" t="str">
        <f>VLOOKUP($A62,Questions!$A$2:$X$333,21,0)&amp;""</f>
      </c>
      <c r="H62" s="184"/>
      <c r="I62" s="45" t="str">
        <f>VLOOKUP($A62,Questions!$A$2:$X$333,23,0)&amp;""</f>
      </c>
      <c r="J62" s="184"/>
      <c r="K62" s="74"/>
      <c r="L62" s="55"/>
      <c r="M62" s="1"/>
    </row>
    <row r="63" spans="1:13" s="29" customFormat="1" ht="17" x14ac:dyDescent="0.15">
      <c r="A63" s="19" t="str">
        <f>'START HERE'!$A$20</f>
      </c>
      <c r="B63" s="20">
        <f>VLOOKUP($A63,'START HERE'!$A$13:$E$36,2,0)&amp;""</f>
      </c>
      <c r="C63" s="297">
        <f>VLOOKUP($A63,'START HERE'!$A$13:$E$36,3,0)&amp;""</f>
      </c>
      <c r="D63" s="300">
        <f>IF(LEFT(VLOOKUP($A63,'START HERE'!$A$13:$E$36,5,0),21)='Auto Responses'!$A$32,'Auto Responses'!$A$33,VLOOKUP($A63,'START HERE'!$A$13:$E$36,4,0))&amp;""</f>
      </c>
      <c r="E63" s="362">
        <f>VLOOKUP($A63,'START HERE'!$A$13:$E$36,5,0)&amp;""</f>
      </c>
      <c r="F63" s="191"/>
      <c r="G63" s="30" t="str">
        <f>VLOOKUP($A63,Questions!$A$2:$X$333,21,0)&amp;""</f>
      </c>
      <c r="H63" s="184"/>
      <c r="I63" s="45" t="str">
        <f>VLOOKUP($A63,Questions!$A$2:$X$333,23,0)&amp;""</f>
      </c>
      <c r="J63" s="184"/>
      <c r="K63" s="74"/>
      <c r="L63" s="55"/>
      <c r="M63" s="1"/>
    </row>
    <row r="64" spans="1:13" s="29" customFormat="1" ht="17" x14ac:dyDescent="0.15">
      <c r="A64" s="19" t="str">
        <f>'START HERE'!$A$21</f>
      </c>
      <c r="B64" s="20">
        <f>VLOOKUP($A64,'START HERE'!$A$13:$E$36,2,0)&amp;""</f>
      </c>
      <c r="C64" s="297">
        <f>VLOOKUP($A64,'START HERE'!$A$13:$E$36,3,0)&amp;""</f>
      </c>
      <c r="D64" s="300">
        <f>IF(LEFT(VLOOKUP($A64,'START HERE'!$A$13:$E$36,5,0),21)='Auto Responses'!$A$32,'Auto Responses'!$A$33,VLOOKUP($A64,'START HERE'!$A$13:$E$36,4,0))&amp;""</f>
      </c>
      <c r="E64" s="362">
        <f>VLOOKUP($A64,'START HERE'!$A$13:$E$36,5,0)&amp;""</f>
      </c>
      <c r="F64" s="191"/>
      <c r="G64" s="30" t="str">
        <f>VLOOKUP($A64,Questions!$A$2:$X$333,21,0)&amp;""</f>
      </c>
      <c r="H64" s="184"/>
      <c r="I64" s="45" t="str">
        <f>VLOOKUP($A64,Questions!$A$2:$X$333,23,0)&amp;""</f>
      </c>
      <c r="J64" s="184"/>
      <c r="K64" s="74"/>
      <c r="L64" s="55"/>
      <c r="M64" s="1"/>
    </row>
    <row r="65" spans="1:13" s="1" customFormat="1" ht="18" x14ac:dyDescent="0.15">
      <c r="A65" s="63" t="str">
        <f>VLOOKUP(LEFT($A66,4),'Auto Responses'!$N$4:$O$38,2,0)&amp;""</f>
        <v xml:space="preserve"> Company Information</v>
      </c>
      <c r="B65" s="22"/>
      <c r="C65" s="31"/>
      <c r="D65" s="31"/>
      <c r="E65" s="322"/>
      <c r="F65" s="361" t="s">
        <v>1030</v>
      </c>
      <c r="G65" s="328" t="s">
        <v>869</v>
      </c>
      <c r="H65" s="328" t="s">
        <v>871</v>
      </c>
      <c r="I65" s="328" t="s">
        <v>19</v>
      </c>
      <c r="J65" s="328" t="s">
        <v>856</v>
      </c>
      <c r="K65" s="328" t="s">
        <v>867</v>
      </c>
      <c r="L65" s="55"/>
    </row>
    <row r="66" spans="1:13" s="29" customFormat="1" ht="119" x14ac:dyDescent="0.15">
      <c r="A66" s="19" t="str">
        <f>'START HERE'!$A$23</f>
      </c>
      <c r="B66" s="20">
        <f>VLOOKUP($A66,'START HERE'!$A$13:$E$36,2,0)&amp;""</f>
      </c>
      <c r="C66" s="45">
        <f>VLOOKUP($A66,'START HERE'!$A$13:$E$36,3,0)&amp;""</f>
      </c>
      <c r="D66" s="34">
        <f>IF(LEFT(VLOOKUP($A66,'START HERE'!$A$13:$E$36,5,0),21)='Auto Responses'!$A$32,'Auto Responses'!$A$33,VLOOKUP($A66,'START HERE'!$A$13:$E$36,4,0))&amp;""</f>
      </c>
      <c r="E66" s="325">
        <f>VLOOKUP($A66,'START HERE'!$A$13:$E$36,5,0)&amp;""</f>
      </c>
      <c r="F66" s="191"/>
      <c r="G66" s="30" t="str">
        <f>VLOOKUP($A66,Questions!$A$2:$X$333,21,0)&amp;""</f>
      </c>
      <c r="H66" s="184"/>
      <c r="I66" s="45" t="str">
        <f>VLOOKUP($A66,Questions!$A$2:$X$333,23,0)&amp;""</f>
      </c>
      <c r="J66" s="184"/>
      <c r="K66" s="48" t="b">
        <v>0</v>
      </c>
      <c r="L66" s="55"/>
      <c r="M66" s="1"/>
    </row>
    <row r="67" spans="1:13" s="29" customFormat="1" ht="136" x14ac:dyDescent="0.15">
      <c r="A67" s="19" t="str">
        <f>'START HERE'!$A$24</f>
      </c>
      <c r="B67" s="20">
        <f>VLOOKUP($A67,'START HERE'!$A$13:$E$36,2,0)&amp;""</f>
      </c>
      <c r="C67" s="299">
        <f>VLOOKUP($A67,'START HERE'!$A$13:$E$36,3,0)&amp;""</f>
      </c>
      <c r="D67" s="300">
        <f>IF(LEFT(VLOOKUP($A67,'START HERE'!$A$13:$E$36,5,0),21)='Auto Responses'!$A$32,'Auto Responses'!$A$33,VLOOKUP($A67,'START HERE'!$A$13:$E$36,4,0))&amp;""</f>
      </c>
      <c r="E67" s="325">
        <f>VLOOKUP($A67,'START HERE'!$A$13:$E$36,5,0)&amp;""</f>
      </c>
      <c r="F67" s="191"/>
      <c r="G67" s="30" t="str">
        <f>VLOOKUP($A67,Questions!$A$2:$X$333,21,0)&amp;""</f>
      </c>
      <c r="H67" s="184"/>
      <c r="I67" s="45" t="str">
        <f>VLOOKUP($A67,Questions!$A$2:$X$333,23,0)&amp;""</f>
      </c>
      <c r="J67" s="184"/>
      <c r="K67" s="48" t="b">
        <v>0</v>
      </c>
      <c r="L67" s="55"/>
      <c r="M67" s="1"/>
    </row>
    <row r="68" spans="1:13" s="29" customFormat="1" ht="51" x14ac:dyDescent="0.15">
      <c r="A68" s="19" t="str">
        <f>'START HERE'!$A$25</f>
      </c>
      <c r="B68" s="20">
        <f>VLOOKUP($A68,'START HERE'!$A$13:$E$36,2,0)&amp;""</f>
      </c>
      <c r="C68" s="45">
        <f>VLOOKUP($A68,'START HERE'!$A$13:$E$36,3,0)&amp;""</f>
      </c>
      <c r="D68" s="34">
        <f>IF(LEFT(VLOOKUP($A68,'START HERE'!$A$13:$E$36,5,0),21)='Auto Responses'!$A$32,'Auto Responses'!$A$33,VLOOKUP($A68,'START HERE'!$A$13:$E$36,4,0))&amp;""</f>
      </c>
      <c r="E68" s="325">
        <f>VLOOKUP($A68,'START HERE'!$A$13:$E$36,5,0)&amp;""</f>
      </c>
      <c r="F68" s="191"/>
      <c r="G68" s="30" t="str">
        <f>VLOOKUP($A68,Questions!$A$2:$X$333,21,0)&amp;""</f>
      </c>
      <c r="H68" s="184"/>
      <c r="I68" s="45" t="str">
        <f>VLOOKUP($A68,Questions!$A$2:$X$333,23,0)&amp;""</f>
      </c>
      <c r="J68" s="184"/>
      <c r="K68" s="48" t="b">
        <v>0</v>
      </c>
      <c r="L68" s="55"/>
      <c r="M68" s="1"/>
    </row>
    <row r="69" spans="1:13" s="29" customFormat="1" ht="68" x14ac:dyDescent="0.15">
      <c r="A69" s="19" t="str">
        <f>'START HERE'!$A$26</f>
      </c>
      <c r="B69" s="20">
        <f>VLOOKUP($A69,'START HERE'!$A$13:$E$36,2,0)&amp;""</f>
      </c>
      <c r="C69" s="45">
        <f>VLOOKUP($A69,'START HERE'!$A$13:$E$36,3,0)&amp;""</f>
      </c>
      <c r="D69" s="34">
        <f>IF(LEFT(VLOOKUP($A69,'START HERE'!$A$13:$E$36,5,0),21)='Auto Responses'!$A$32,'Auto Responses'!$A$33,VLOOKUP($A69,'START HERE'!$A$13:$E$36,4,0))&amp;""</f>
      </c>
      <c r="E69" s="325">
        <f>VLOOKUP($A69,'START HERE'!$A$13:$E$36,5,0)&amp;""</f>
      </c>
      <c r="F69" s="191"/>
      <c r="G69" s="30" t="str">
        <f>VLOOKUP($A69,Questions!$A$2:$X$333,21,0)&amp;""</f>
      </c>
      <c r="H69" s="184"/>
      <c r="I69" s="45" t="str">
        <f>VLOOKUP($A69,Questions!$A$2:$X$333,23,0)&amp;""</f>
      </c>
      <c r="J69" s="184"/>
      <c r="K69" s="48" t="b">
        <v>0</v>
      </c>
      <c r="L69" s="55"/>
      <c r="M69" s="1"/>
    </row>
    <row r="70" spans="1:13" s="29" customFormat="1" ht="409.6" x14ac:dyDescent="0.15">
      <c r="A70" s="19" t="str">
        <f>'START HERE'!$A$27</f>
      </c>
      <c r="B70" s="20">
        <f>VLOOKUP($A70,'START HERE'!$A$13:$E$36,2,0)&amp;""</f>
      </c>
      <c r="C70" s="299">
        <f>VLOOKUP($A70,'START HERE'!$A$13:$E$36,3,0)&amp;""</f>
      </c>
      <c r="D70" s="300">
        <f>IF(LEFT(VLOOKUP($A70,'START HERE'!$A$13:$E$36,5,0),21)='Auto Responses'!$A$32,'Auto Responses'!$A$33,VLOOKUP($A70,'START HERE'!$A$13:$E$36,4,0))&amp;""</f>
      </c>
      <c r="E70" s="325">
        <f>VLOOKUP($A70,'START HERE'!$A$13:$E$36,5,0)&amp;""</f>
      </c>
      <c r="F70" s="191"/>
      <c r="G70" s="30" t="str">
        <f>VLOOKUP($A70,Questions!$A$2:$X$333,21,0)&amp;""</f>
      </c>
      <c r="H70" s="184"/>
      <c r="I70" s="45" t="s">
        <v>1004</v>
      </c>
      <c r="J70" s="184"/>
      <c r="K70" s="48" t="b">
        <v>0</v>
      </c>
      <c r="L70" s="55"/>
      <c r="M70" s="1"/>
    </row>
    <row r="71" spans="1:13" s="1" customFormat="1" ht="19" thickBot="1" x14ac:dyDescent="0.2">
      <c r="A71" s="63" t="str">
        <f>VLOOKUP(LEFT($A72,4),'Auto Responses'!$N$4:$O$38,2,0)&amp;""</f>
        <v xml:space="preserve"> Required Questions</v>
      </c>
      <c r="B71" s="22"/>
      <c r="C71" s="31"/>
      <c r="D71" s="31"/>
      <c r="E71" s="324"/>
      <c r="F71" s="361" t="s">
        <v>1030</v>
      </c>
      <c r="G71" s="328" t="s">
        <v>869</v>
      </c>
      <c r="H71" s="328" t="s">
        <v>871</v>
      </c>
      <c r="I71" s="328" t="s">
        <v>19</v>
      </c>
      <c r="J71" s="328" t="s">
        <v>856</v>
      </c>
      <c r="K71" s="328" t="s">
        <v>867</v>
      </c>
      <c r="L71" s="55"/>
    </row>
    <row r="72" spans="1:13" s="29" customFormat="1" ht="68" x14ac:dyDescent="0.15">
      <c r="A72" s="19" t="str">
        <f>'START HERE'!$A$29</f>
      </c>
      <c r="B72" s="20">
        <f>VLOOKUP($A72,'START HERE'!$A$13:$E$36,2,0)&amp;""</f>
      </c>
      <c r="C72" s="45">
        <f>VLOOKUP($A72,'START HERE'!$A$13:$E$36,3,0)&amp;""</f>
      </c>
      <c r="D72" s="34">
        <f>IF(LEFT(VLOOKUP($A72,'START HERE'!$A$13:$E$36,5,0),21)='Auto Responses'!$A$32,'Auto Responses'!$A$33,VLOOKUP($A72,'START HERE'!$A$13:$E$36,4,0))&amp;""</f>
      </c>
      <c r="E72" s="323">
        <f>VLOOKUP($A72,'START HERE'!$A$13:$E$36,5,0)&amp;""</f>
      </c>
      <c r="F72" s="192"/>
      <c r="G72" s="30" t="str">
        <f>VLOOKUP($A72,Questions!$A$2:$X$333,21,0)&amp;""</f>
      </c>
      <c r="H72" s="184"/>
      <c r="I72" s="45" t="str">
        <f>VLOOKUP($A72,Questions!$A$2:$X$333,23,0)&amp;""</f>
      </c>
      <c r="J72" s="184"/>
      <c r="K72" s="153" t="b">
        <v>0</v>
      </c>
      <c r="L72" s="55"/>
      <c r="M72" s="1"/>
    </row>
    <row r="73" spans="1:13" s="29" customFormat="1" ht="34" x14ac:dyDescent="0.15">
      <c r="A73" s="19" t="str">
        <f>'START HERE'!$A$30</f>
      </c>
      <c r="B73" s="20">
        <f>VLOOKUP($A73,'START HERE'!$A$13:$E$36,2,0)&amp;""</f>
      </c>
      <c r="C73" s="45">
        <f>VLOOKUP($A73,'START HERE'!$A$13:$E$36,3,0)&amp;""</f>
      </c>
      <c r="D73" s="34">
        <f>IF(LEFT(VLOOKUP($A73,'START HERE'!$A$13:$E$36,5,0),21)='Auto Responses'!$A$32,'Auto Responses'!$A$33,VLOOKUP($A73,'START HERE'!$A$13:$E$36,4,0))&amp;""</f>
      </c>
      <c r="E73" s="323">
        <f>VLOOKUP($A73,'START HERE'!$A$13:$E$36,5,0)&amp;""</f>
      </c>
      <c r="F73" s="187"/>
      <c r="G73" s="30" t="str">
        <f>VLOOKUP($A73,Questions!$A$2:$X$333,21,0)&amp;""</f>
      </c>
      <c r="H73" s="184"/>
      <c r="I73" s="45" t="str">
        <f>VLOOKUP($A73,Questions!$A$2:$X$333,23,0)&amp;""</f>
      </c>
      <c r="J73" s="184"/>
      <c r="K73" s="48" t="b">
        <v>0</v>
      </c>
      <c r="L73" s="55"/>
      <c r="M73" s="1"/>
    </row>
    <row r="74" spans="1:13" s="29" customFormat="1" ht="51" x14ac:dyDescent="0.15">
      <c r="A74" s="19" t="str">
        <f>'START HERE'!$A$31</f>
      </c>
      <c r="B74" s="20">
        <f>VLOOKUP($A74,'START HERE'!$A$13:$E$36,2,0)&amp;""</f>
      </c>
      <c r="C74" s="45">
        <f>VLOOKUP($A74,'START HERE'!$A$13:$E$36,3,0)&amp;""</f>
      </c>
      <c r="D74" s="34">
        <f>IF(LEFT(VLOOKUP($A74,'START HERE'!$A$13:$E$36,5,0),21)='Auto Responses'!$A$32,'Auto Responses'!$A$33,VLOOKUP($A74,'START HERE'!$A$13:$E$36,4,0))&amp;""</f>
      </c>
      <c r="E74" s="323">
        <f>VLOOKUP($A74,'START HERE'!$A$13:$E$36,5,0)&amp;""</f>
      </c>
      <c r="F74" s="187"/>
      <c r="G74" s="30" t="str">
        <f>VLOOKUP($A74,Questions!$A$2:$X$333,21,0)&amp;""</f>
      </c>
      <c r="H74" s="184"/>
      <c r="I74" s="45" t="str">
        <f>VLOOKUP($A74,Questions!$A$2:$X$333,23,0)&amp;""</f>
      </c>
      <c r="J74" s="184"/>
      <c r="K74" s="48" t="b">
        <v>0</v>
      </c>
      <c r="L74" s="55"/>
      <c r="M74" s="1"/>
    </row>
    <row r="75" spans="1:13" s="29" customFormat="1" ht="68" x14ac:dyDescent="0.15">
      <c r="A75" s="19" t="str">
        <f>'START HERE'!$A$32</f>
      </c>
      <c r="B75" s="20">
        <f>VLOOKUP($A75,'START HERE'!$A$13:$E$36,2,0)&amp;""</f>
      </c>
      <c r="C75" s="45">
        <f>VLOOKUP($A75,'START HERE'!$A$13:$E$36,3,0)&amp;""</f>
      </c>
      <c r="D75" s="34">
        <f>IF(LEFT(VLOOKUP($A75,'START HERE'!$A$13:$E$36,5,0),21)='Auto Responses'!$A$32,'Auto Responses'!$A$33,VLOOKUP($A75,'START HERE'!$A$13:$E$36,4,0))&amp;""</f>
      </c>
      <c r="E75" s="323">
        <f>VLOOKUP($A75,'START HERE'!$A$13:$E$36,5,0)&amp;""</f>
      </c>
      <c r="F75" s="187"/>
      <c r="G75" s="30" t="str">
        <f>VLOOKUP($A75,Questions!$A$2:$X$333,21,0)&amp;""</f>
      </c>
      <c r="H75" s="184"/>
      <c r="I75" s="45" t="str">
        <f>VLOOKUP($A75,Questions!$A$2:$X$333,23,0)&amp;""</f>
      </c>
      <c r="J75" s="184"/>
      <c r="K75" s="48" t="b">
        <v>0</v>
      </c>
      <c r="L75" s="55"/>
      <c r="M75" s="1"/>
    </row>
    <row r="76" spans="1:13" s="29" customFormat="1" ht="51" x14ac:dyDescent="0.15">
      <c r="A76" s="19" t="str">
        <f>'START HERE'!$A$33</f>
      </c>
      <c r="B76" s="20">
        <f>VLOOKUP($A76,'START HERE'!$A$13:$E$36,2,0)&amp;""</f>
      </c>
      <c r="C76" s="45">
        <f>VLOOKUP($A76,'START HERE'!$A$13:$E$36,3,0)&amp;""</f>
      </c>
      <c r="D76" s="34">
        <f>IF(LEFT(VLOOKUP($A76,'START HERE'!$A$13:$E$36,5,0),21)='Auto Responses'!$A$32,'Auto Responses'!$A$33,VLOOKUP($A76,'START HERE'!$A$13:$E$36,4,0))&amp;""</f>
      </c>
      <c r="E76" s="323">
        <f>VLOOKUP($A76,'START HERE'!$A$13:$E$36,5,0)&amp;""</f>
      </c>
      <c r="F76" s="187"/>
      <c r="G76" s="30" t="str">
        <f>VLOOKUP($A76,Questions!$A$2:$X$333,21,0)&amp;""</f>
      </c>
      <c r="H76" s="184"/>
      <c r="I76" s="45" t="str">
        <f>VLOOKUP($A76,Questions!$A$2:$X$333,23,0)&amp;""</f>
      </c>
      <c r="J76" s="184"/>
      <c r="K76" s="48" t="b">
        <v>0</v>
      </c>
      <c r="L76" s="55"/>
      <c r="M76" s="1"/>
    </row>
    <row r="77" spans="1:13" s="29" customFormat="1" ht="119" x14ac:dyDescent="0.15">
      <c r="A77" s="19" t="str">
        <f>'START HERE'!$A$34</f>
      </c>
      <c r="B77" s="20">
        <f>VLOOKUP($A77,'START HERE'!$A$13:$E$36,2,0)&amp;""</f>
      </c>
      <c r="C77" s="45">
        <f>VLOOKUP($A77,'START HERE'!$A$13:$E$36,3,0)&amp;""</f>
      </c>
      <c r="D77" s="34">
        <f>IF(LEFT(VLOOKUP($A77,'START HERE'!$A$13:$E$36,5,0),21)='Auto Responses'!$A$32,'Auto Responses'!$A$33,VLOOKUP($A77,'START HERE'!$A$13:$E$36,4,0))&amp;""</f>
      </c>
      <c r="E77" s="323">
        <f>VLOOKUP($A77,'START HERE'!$A$13:$E$36,5,0)&amp;""</f>
      </c>
      <c r="F77" s="187"/>
      <c r="G77" s="30" t="str">
        <f>VLOOKUP($A77,Questions!$A$2:$X$333,21,0)&amp;""</f>
      </c>
      <c r="H77" s="184"/>
      <c r="I77" s="45" t="str">
        <f>VLOOKUP($A77,Questions!$A$2:$X$333,23,0)&amp;""</f>
      </c>
      <c r="J77" s="184"/>
      <c r="K77" s="48" t="b">
        <v>0</v>
      </c>
      <c r="L77" s="55"/>
      <c r="M77" s="1"/>
    </row>
    <row r="78" spans="1:13" s="29" customFormat="1" ht="60" x14ac:dyDescent="0.15">
      <c r="A78" s="19" t="str">
        <f>'START HERE'!$A$35</f>
      </c>
      <c r="B78" s="20">
        <f>VLOOKUP($A78,'START HERE'!$A$13:$E$36,2,0)&amp;""</f>
      </c>
      <c r="C78" s="45">
        <f>VLOOKUP($A78,'START HERE'!$A$13:$E$36,3,0)&amp;""</f>
      </c>
      <c r="D78" s="34">
        <f>IF(LEFT(VLOOKUP($A78,'START HERE'!$A$13:$E$36,5,0),21)='Auto Responses'!$A$32,'Auto Responses'!$A$33,VLOOKUP($A78,'START HERE'!$A$13:$E$36,4,0))&amp;""</f>
      </c>
      <c r="E78" s="323">
        <f>VLOOKUP($A78,'START HERE'!$A$13:$E$36,5,0)&amp;""</f>
      </c>
      <c r="F78" s="187"/>
      <c r="G78" s="30" t="str">
        <f>VLOOKUP($A78,Questions!$A$2:$X$333,21,0)&amp;""</f>
      </c>
      <c r="H78" s="184"/>
      <c r="I78" s="45" t="str">
        <f>VLOOKUP($A78,Questions!$A$2:$X$333,23,0)&amp;""</f>
      </c>
      <c r="J78" s="184"/>
      <c r="K78" s="48" t="b">
        <v>0</v>
      </c>
      <c r="L78" s="55"/>
      <c r="M78" s="1"/>
    </row>
    <row r="79" spans="1:13" s="29" customFormat="1" ht="52" thickBot="1" x14ac:dyDescent="0.2">
      <c r="A79" s="19" t="str">
        <f>'START HERE'!$A$36</f>
      </c>
      <c r="B79" s="20">
        <f>VLOOKUP($A79,'START HERE'!$A$13:$E$36,2,0)&amp;""</f>
      </c>
      <c r="C79" s="45">
        <f>VLOOKUP($A79,'START HERE'!$A$13:$E$36,3,0)&amp;""</f>
      </c>
      <c r="D79" s="34">
        <f>IF(LEFT(VLOOKUP($A79,'START HERE'!$A$13:$E$36,5,0),21)='Auto Responses'!$A$32,'Auto Responses'!$A$33,VLOOKUP($A79,'START HERE'!$A$13:$E$36,4,0))&amp;""</f>
      </c>
      <c r="E79" s="323">
        <f>VLOOKUP($A79,'START HERE'!$A$13:$E$36,5,0)&amp;""</f>
      </c>
      <c r="F79" s="193"/>
      <c r="G79" s="30" t="str">
        <f>VLOOKUP($A79,Questions!$A$2:$X$333,21,0)&amp;""</f>
      </c>
      <c r="H79" s="184"/>
      <c r="I79" s="45" t="str">
        <f>VLOOKUP($A79,Questions!$A$2:$X$333,23,0)&amp;""</f>
      </c>
      <c r="J79" s="184"/>
      <c r="K79" s="151" t="b">
        <v>0</v>
      </c>
      <c r="L79" s="55"/>
      <c r="M79" s="1"/>
    </row>
    <row r="80" spans="1:13" s="1" customFormat="1" ht="18" x14ac:dyDescent="0.15">
      <c r="A80" s="63" t="str">
        <f>VLOOKUP(LEFT($A81,4),'Auto Responses'!$N$4:$O$38,2,0)&amp;""</f>
        <v xml:space="preserve"> Documentation</v>
      </c>
      <c r="B80" s="22"/>
      <c r="C80" s="31"/>
      <c r="D80" s="31"/>
      <c r="E80" s="324"/>
      <c r="F80" s="361" t="s">
        <v>1030</v>
      </c>
      <c r="G80" s="328" t="s">
        <v>869</v>
      </c>
      <c r="H80" s="328" t="s">
        <v>871</v>
      </c>
      <c r="I80" s="328" t="s">
        <v>19</v>
      </c>
      <c r="J80" s="328" t="s">
        <v>856</v>
      </c>
      <c r="K80" s="328" t="s">
        <v>867</v>
      </c>
    </row>
    <row r="81" spans="1:12" s="29" customFormat="1" ht="51" x14ac:dyDescent="0.15">
      <c r="A81" s="19">
        <f>Organization!$A$22</f>
      </c>
      <c r="B81" s="20">
        <f>VLOOKUP($A81,Organization!$A$13:$E$67,2,0)&amp;""</f>
      </c>
      <c r="C81" s="45">
        <f>VLOOKUP($A81,Organization!$A$13:$E$67,3,0)&amp;""</f>
      </c>
      <c r="D81" s="34">
        <f>IF(LEFT(VLOOKUP($A81,Organization!$A$13:$E$67,5,0),21)='Auto Responses'!$A$32,'Auto Responses'!$A$33,VLOOKUP($A81,Organization!$A$13:$E$67,4,0))&amp;""</f>
      </c>
      <c r="E81" s="323">
        <f>VLOOKUP($A81,Organization!$A$13:$E$67,5,0)&amp;""</f>
      </c>
      <c r="F81" s="194"/>
      <c r="G81" s="30" t="str">
        <f>VLOOKUP($A81,Questions!$A$2:$X$333,21,0)&amp;""</f>
      </c>
      <c r="H81" s="184"/>
      <c r="I81" s="45" t="str">
        <f>VLOOKUP($A81,Questions!$A$2:$X$333,23,0)&amp;""</f>
      </c>
      <c r="J81" s="184"/>
      <c r="K81" s="48" t="b">
        <v>0</v>
      </c>
      <c r="L81" s="1"/>
    </row>
    <row r="82" spans="1:12" s="29" customFormat="1" ht="136" x14ac:dyDescent="0.15">
      <c r="A82" s="19" t="str">
        <f>Organization!$A$23</f>
      </c>
      <c r="B82" s="20">
        <f>VLOOKUP($A82,Organization!$A$13:$E$67,2,0)&amp;""</f>
      </c>
      <c r="C82" s="45">
        <f>VLOOKUP($A82,Organization!$A$13:$E$67,3,0)&amp;""</f>
      </c>
      <c r="D82" s="34">
        <f>IF(LEFT(VLOOKUP($A82,Organization!$A$13:$E$67,5,0),21)='Auto Responses'!$A$32,'Auto Responses'!$A$33,VLOOKUP($A82,Organization!$A$13:$E$67,4,0))&amp;""</f>
      </c>
      <c r="E82" s="323">
        <f>VLOOKUP($A82,Organization!$A$13:$E$67,5,0)&amp;""</f>
      </c>
      <c r="F82" s="194"/>
      <c r="G82" s="30" t="str">
        <f>VLOOKUP($A82,Questions!$A$2:$X$333,21,0)&amp;""</f>
      </c>
      <c r="H82" s="184"/>
      <c r="I82" s="45" t="str">
        <f>VLOOKUP($A82,Questions!$A$2:$X$333,23,0)&amp;""</f>
      </c>
      <c r="J82" s="184"/>
      <c r="K82" s="48" t="b">
        <v>0</v>
      </c>
      <c r="L82" s="1"/>
    </row>
    <row r="83" spans="1:12" s="29" customFormat="1" ht="68" x14ac:dyDescent="0.15">
      <c r="A83" s="19" t="str">
        <f>Organization!$A$24</f>
      </c>
      <c r="B83" s="20">
        <f>VLOOKUP($A83,Organization!$A$13:$E$67,2,0)&amp;""</f>
      </c>
      <c r="C83" s="45">
        <f>VLOOKUP($A83,Organization!$A$13:$E$67,3,0)&amp;""</f>
      </c>
      <c r="D83" s="34">
        <f>IF(LEFT(VLOOKUP($A83,Organization!$A$13:$E$67,5,0),21)='Auto Responses'!$A$32,'Auto Responses'!$A$33,VLOOKUP($A83,Organization!$A$13:$E$67,4,0))&amp;""</f>
      </c>
      <c r="E83" s="323">
        <f>VLOOKUP($A83,Organization!$A$13:$E$67,5,0)&amp;""</f>
      </c>
      <c r="F83" s="194"/>
      <c r="G83" s="30" t="str">
        <f>VLOOKUP($A83,Questions!$A$2:$X$333,21,0)&amp;""</f>
      </c>
      <c r="H83" s="184"/>
      <c r="I83" s="45" t="str">
        <f>VLOOKUP($A83,Questions!$A$2:$X$333,23,0)&amp;""</f>
      </c>
      <c r="J83" s="184"/>
      <c r="K83" s="48" t="b">
        <v>0</v>
      </c>
      <c r="L83" s="1"/>
    </row>
    <row r="84" spans="1:12" s="29" customFormat="1" ht="68" x14ac:dyDescent="0.15">
      <c r="A84" s="19" t="str">
        <f>Organization!$A$25</f>
      </c>
      <c r="B84" s="20">
        <f>VLOOKUP($A84,Organization!$A$13:$E$67,2,0)&amp;""</f>
      </c>
      <c r="C84" s="45">
        <f>VLOOKUP($A84,Organization!$A$13:$E$67,3,0)&amp;""</f>
      </c>
      <c r="D84" s="34">
        <f>IF(LEFT(VLOOKUP($A84,Organization!$A$13:$E$67,5,0),21)='Auto Responses'!$A$32,'Auto Responses'!$A$33,VLOOKUP($A84,Organization!$A$13:$E$67,4,0))&amp;""</f>
      </c>
      <c r="E84" s="323">
        <f>VLOOKUP($A84,Organization!$A$13:$E$67,5,0)&amp;""</f>
      </c>
      <c r="F84" s="194"/>
      <c r="G84" s="30" t="str">
        <f>VLOOKUP($A84,Questions!$A$2:$X$333,21,0)&amp;""</f>
      </c>
      <c r="H84" s="184"/>
      <c r="I84" s="45" t="str">
        <f>VLOOKUP($A84,Questions!$A$2:$X$333,23,0)&amp;""</f>
      </c>
      <c r="J84" s="184"/>
      <c r="K84" s="48" t="b">
        <v>0</v>
      </c>
      <c r="L84" s="1"/>
    </row>
    <row r="85" spans="1:12" s="29" customFormat="1" ht="51" x14ac:dyDescent="0.15">
      <c r="A85" s="19" t="str">
        <f>Organization!$A$26</f>
      </c>
      <c r="B85" s="20">
        <f>VLOOKUP($A85,Organization!$A$13:$E$67,2,0)&amp;""</f>
      </c>
      <c r="C85" s="45">
        <f>VLOOKUP($A85,Organization!$A$13:$E$67,3,0)&amp;""</f>
      </c>
      <c r="D85" s="34">
        <f>IF(LEFT(VLOOKUP($A85,Organization!$A$13:$E$67,5,0),21)='Auto Responses'!$A$32,'Auto Responses'!$A$33,VLOOKUP($A85,Organization!$A$13:$E$67,4,0))&amp;""</f>
      </c>
      <c r="E85" s="323">
        <f>VLOOKUP($A85,Organization!$A$13:$E$67,5,0)&amp;""</f>
      </c>
      <c r="F85" s="194"/>
      <c r="G85" s="30" t="str">
        <f>VLOOKUP($A85,Questions!$A$2:$X$333,21,0)&amp;""</f>
      </c>
      <c r="H85" s="184"/>
      <c r="I85" s="45" t="str">
        <f>VLOOKUP($A85,Questions!$A$2:$X$333,23,0)&amp;""</f>
      </c>
      <c r="J85" s="184"/>
      <c r="K85" s="48" t="b">
        <v>0</v>
      </c>
      <c r="L85" s="1"/>
    </row>
    <row r="86" spans="1:12" s="29" customFormat="1" ht="85" x14ac:dyDescent="0.15">
      <c r="A86" s="19" t="str">
        <f>Organization!$A$27</f>
      </c>
      <c r="B86" s="20">
        <f>VLOOKUP($A86,Organization!$A$13:$E$67,2,0)&amp;""</f>
      </c>
      <c r="C86" s="45">
        <f>VLOOKUP($A86,Organization!$A$13:$E$67,3,0)&amp;""</f>
      </c>
      <c r="D86" s="34">
        <f>IF(LEFT(VLOOKUP($A86,Organization!$A$13:$E$67,5,0),21)='Auto Responses'!$A$32,'Auto Responses'!$A$33,VLOOKUP($A86,Organization!$A$13:$E$67,4,0))&amp;""</f>
      </c>
      <c r="E86" s="323">
        <f>VLOOKUP($A86,Organization!$A$13:$E$67,5,0)&amp;""</f>
      </c>
      <c r="F86" s="194"/>
      <c r="G86" s="30" t="str">
        <f>VLOOKUP($A86,Questions!$A$2:$X$333,21,0)&amp;""</f>
      </c>
      <c r="H86" s="184"/>
      <c r="I86" s="45" t="str">
        <f>VLOOKUP($A86,Questions!$A$2:$X$333,23,0)&amp;""</f>
      </c>
      <c r="J86" s="184"/>
      <c r="K86" s="48" t="b">
        <v>0</v>
      </c>
      <c r="L86" s="1"/>
    </row>
    <row r="87" spans="1:12" s="29" customFormat="1" ht="51" x14ac:dyDescent="0.15">
      <c r="A87" s="19" t="str">
        <f>Organization!$A$28</f>
      </c>
      <c r="B87" s="20">
        <f>VLOOKUP($A87,Organization!$A$13:$E$67,2,0)&amp;""</f>
      </c>
      <c r="C87" s="45">
        <f>VLOOKUP($A87,Organization!$A$13:$E$67,3,0)&amp;""</f>
      </c>
      <c r="D87" s="34">
        <f>IF(LEFT(VLOOKUP($A87,Organization!$A$13:$E$67,5,0),21)='Auto Responses'!$A$32,'Auto Responses'!$A$33,VLOOKUP($A87,Organization!$A$13:$E$67,4,0))&amp;""</f>
      </c>
      <c r="E87" s="323">
        <f>VLOOKUP($A87,Organization!$A$13:$E$67,5,0)&amp;""</f>
      </c>
      <c r="F87" s="194"/>
      <c r="G87" s="30" t="str">
        <f>VLOOKUP($A87,Questions!$A$2:$X$333,21,0)&amp;""</f>
      </c>
      <c r="H87" s="184"/>
      <c r="I87" s="45" t="str">
        <f>VLOOKUP($A87,Questions!$A$2:$X$333,23,0)&amp;""</f>
      </c>
      <c r="J87" s="184"/>
      <c r="K87" s="48" t="b">
        <v>0</v>
      </c>
      <c r="L87" s="1"/>
    </row>
    <row r="88" spans="1:12" s="1" customFormat="1" ht="18" x14ac:dyDescent="0.15">
      <c r="A88" s="63" t="str">
        <f>VLOOKUP(LEFT($A89,4),'Auto Responses'!$N$4:$O$38,2,0)&amp;""</f>
        <v xml:space="preserve"> Assessment of Third Parties</v>
      </c>
      <c r="B88" s="22"/>
      <c r="C88" s="31"/>
      <c r="D88" s="31"/>
      <c r="E88" s="324"/>
      <c r="F88" s="361" t="s">
        <v>1030</v>
      </c>
      <c r="G88" s="328" t="s">
        <v>869</v>
      </c>
      <c r="H88" s="328" t="s">
        <v>871</v>
      </c>
      <c r="I88" s="328" t="s">
        <v>19</v>
      </c>
      <c r="J88" s="328" t="s">
        <v>856</v>
      </c>
      <c r="K88" s="328" t="s">
        <v>867</v>
      </c>
    </row>
    <row r="89" spans="1:12" s="29" customFormat="1" ht="136" x14ac:dyDescent="0.15">
      <c r="A89" s="19">
        <f>Organization!$A$30</f>
      </c>
      <c r="B89" s="20">
        <f>VLOOKUP($A89,Organization!$A$13:$E$67,2,0)&amp;""</f>
      </c>
      <c r="C89" s="45">
        <f>VLOOKUP($A89,Organization!$A$13:$E$67,3,0)&amp;""</f>
      </c>
      <c r="D89" s="34">
        <f>IF(LEFT(VLOOKUP($A89,Organization!$A$13:$E$67,5,0),21)='Auto Responses'!$A$32,'Auto Responses'!$A$33,VLOOKUP($A89,Organization!$A$13:$E$67,4,0))&amp;""</f>
      </c>
      <c r="E89" s="323">
        <f>VLOOKUP($A89,Organization!$A$13:$E$67,5,0)&amp;""</f>
      </c>
      <c r="F89" s="194"/>
      <c r="G89" s="30" t="str">
        <f>VLOOKUP($A89,Questions!$A$2:$X$333,21,0)&amp;""</f>
      </c>
      <c r="H89" s="184"/>
      <c r="I89" s="45" t="str">
        <f>VLOOKUP($A89,Questions!$A$2:$X$333,23,0)&amp;""</f>
      </c>
      <c r="J89" s="184"/>
      <c r="K89" s="48" t="b">
        <v>0</v>
      </c>
      <c r="L89" s="1"/>
    </row>
    <row r="90" spans="1:12" s="29" customFormat="1" ht="409.6" x14ac:dyDescent="0.15">
      <c r="A90" s="19" t="str">
        <f>Organization!$A$31</f>
      </c>
      <c r="B90" s="20">
        <f>VLOOKUP($A90,Organization!$A$13:$E$67,2,0)&amp;""</f>
      </c>
      <c r="C90" s="45">
        <f>VLOOKUP($A90,Organization!$A$13:$E$67,3,0)&amp;""</f>
      </c>
      <c r="D90" s="34">
        <f>IF(LEFT(VLOOKUP($A90,Organization!$A$13:$E$67,5,0),21)='Auto Responses'!$A$32,'Auto Responses'!$A$33,VLOOKUP($A90,Organization!$A$13:$E$67,4,0))&amp;""</f>
      </c>
      <c r="E90" s="323">
        <f>VLOOKUP($A90,Organization!$A$13:$E$67,5,0)&amp;""</f>
      </c>
      <c r="F90" s="194"/>
      <c r="G90" s="30" t="str">
        <f>VLOOKUP($A90,Questions!$A$2:$X$333,21,0)&amp;""</f>
      </c>
      <c r="H90" s="184"/>
      <c r="I90" s="45" t="str">
        <f>VLOOKUP($A90,Questions!$A$2:$X$333,23,0)&amp;""</f>
      </c>
      <c r="J90" s="184"/>
      <c r="K90" s="48" t="b">
        <v>0</v>
      </c>
      <c r="L90" s="1"/>
    </row>
    <row r="91" spans="1:12" s="29" customFormat="1" ht="85" x14ac:dyDescent="0.15">
      <c r="A91" s="19" t="str">
        <f>Organization!$A$32</f>
      </c>
      <c r="B91" s="20">
        <f>VLOOKUP($A91,Organization!$A$13:$E$67,2,0)&amp;""</f>
      </c>
      <c r="C91" s="45">
        <f>VLOOKUP($A91,Organization!$A$13:$E$67,3,0)&amp;""</f>
      </c>
      <c r="D91" s="34">
        <f>IF(LEFT(VLOOKUP($A91,Organization!$A$13:$E$67,5,0),21)='Auto Responses'!$A$32,'Auto Responses'!$A$33,VLOOKUP($A91,Organization!$A$13:$E$67,4,0))&amp;""</f>
      </c>
      <c r="E91" s="323">
        <f>VLOOKUP($A91,Organization!$A$13:$E$67,5,0)&amp;""</f>
      </c>
      <c r="F91" s="194"/>
      <c r="G91" s="30" t="str">
        <f>VLOOKUP($A91,Questions!$A$2:$X$333,21,0)&amp;""</f>
      </c>
      <c r="H91" s="184"/>
      <c r="I91" s="45" t="str">
        <f>VLOOKUP($A91,Questions!$A$2:$X$333,23,0)&amp;""</f>
      </c>
      <c r="J91" s="184"/>
      <c r="K91" s="48" t="b">
        <v>0</v>
      </c>
      <c r="L91" s="1"/>
    </row>
    <row r="92" spans="1:12" s="29" customFormat="1" ht="51" x14ac:dyDescent="0.15">
      <c r="A92" s="19" t="str">
        <f>Organization!$A$33</f>
      </c>
      <c r="B92" s="20">
        <f>VLOOKUP($A92,Organization!$A$13:$E$67,2,0)&amp;""</f>
      </c>
      <c r="C92" s="45">
        <f>VLOOKUP($A92,Organization!$A$13:$E$67,3,0)&amp;""</f>
      </c>
      <c r="D92" s="34">
        <f>IF(LEFT(VLOOKUP($A92,Organization!$A$13:$E$67,5,0),21)='Auto Responses'!$A$32,'Auto Responses'!$A$33,VLOOKUP($A92,Organization!$A$13:$E$67,4,0))&amp;""</f>
      </c>
      <c r="E92" s="323">
        <f>VLOOKUP($A92,Organization!$A$13:$E$67,5,0)&amp;""</f>
      </c>
      <c r="F92" s="194"/>
      <c r="G92" s="30" t="str">
        <f>VLOOKUP($A92,Questions!$A$2:$X$333,21,0)&amp;""</f>
      </c>
      <c r="H92" s="184"/>
      <c r="I92" s="45" t="str">
        <f>VLOOKUP($A92,Questions!$A$2:$X$333,23,0)&amp;""</f>
      </c>
      <c r="J92" s="184"/>
      <c r="K92" s="48" t="b">
        <v>0</v>
      </c>
      <c r="L92" s="1"/>
    </row>
    <row r="93" spans="1:12" s="29" customFormat="1" ht="85" x14ac:dyDescent="0.15">
      <c r="A93" s="19" t="str">
        <f>Organization!$A$34</f>
      </c>
      <c r="B93" s="20">
        <f>VLOOKUP($A93,Organization!$A$13:$E$67,2,0)&amp;""</f>
      </c>
      <c r="C93" s="45">
        <f>VLOOKUP($A93,Organization!$A$13:$E$67,3,0)&amp;""</f>
      </c>
      <c r="D93" s="34">
        <f>IF(LEFT(VLOOKUP($A93,Organization!$A$13:$E$67,5,0),21)='Auto Responses'!$A$32,'Auto Responses'!$A$33,VLOOKUP($A93,Organization!$A$13:$E$67,4,0))&amp;""</f>
      </c>
      <c r="E93" s="323">
        <f>VLOOKUP($A93,Organization!$A$13:$E$67,5,0)&amp;""</f>
      </c>
      <c r="F93" s="194"/>
      <c r="G93" s="30" t="str">
        <f>VLOOKUP($A93,Questions!$A$2:$X$333,21,0)&amp;""</f>
      </c>
      <c r="H93" s="184"/>
      <c r="I93" s="45" t="str">
        <f>VLOOKUP($A93,Questions!$A$2:$X$333,23,0)&amp;""</f>
      </c>
      <c r="J93" s="184"/>
      <c r="K93" s="48" t="b">
        <v>0</v>
      </c>
      <c r="L93" s="1"/>
    </row>
    <row r="94" spans="1:12" s="1" customFormat="1" ht="18" x14ac:dyDescent="0.15">
      <c r="A94" s="63" t="str">
        <f>VLOOKUP(LEFT($A95,4),'Auto Responses'!$N$4:$O$38,2,0)&amp;""</f>
        <v xml:space="preserve"> Change Management</v>
      </c>
      <c r="B94" s="22"/>
      <c r="C94" s="31"/>
      <c r="D94" s="31"/>
      <c r="E94" s="324"/>
      <c r="F94" s="361" t="s">
        <v>1030</v>
      </c>
      <c r="G94" s="328" t="s">
        <v>869</v>
      </c>
      <c r="H94" s="328" t="s">
        <v>871</v>
      </c>
      <c r="I94" s="328" t="s">
        <v>19</v>
      </c>
      <c r="J94" s="328" t="s">
        <v>856</v>
      </c>
      <c r="K94" s="328" t="s">
        <v>867</v>
      </c>
    </row>
    <row r="95" spans="1:12" s="29" customFormat="1" ht="85" x14ac:dyDescent="0.15">
      <c r="A95" s="19">
        <f>Organization!$A$36</f>
      </c>
      <c r="B95" s="20">
        <f>VLOOKUP($A95,Organization!$A$13:$E$67,2,0)&amp;""</f>
      </c>
      <c r="C95" s="45">
        <f>VLOOKUP($A95,Organization!$A$13:$E$67,3,0)&amp;""</f>
      </c>
      <c r="D95" s="34">
        <f>IF(LEFT(VLOOKUP($A95,Organization!$A$13:$E$67,5,0),21)='Auto Responses'!$A$32,'Auto Responses'!$A$33,VLOOKUP($A95,Organization!$A$13:$E$67,4,0))&amp;""</f>
      </c>
      <c r="E95" s="323">
        <f>VLOOKUP($A95,Organization!$A$13:$E$67,5,0)&amp;""</f>
      </c>
      <c r="F95" s="194"/>
      <c r="G95" s="30" t="str">
        <f>VLOOKUP($A95,Questions!$A$2:$X$333,21,0)&amp;""</f>
      </c>
      <c r="H95" s="184"/>
      <c r="I95" s="45" t="str">
        <f>VLOOKUP($A95,Questions!$A$2:$X$333,23,0)&amp;""</f>
      </c>
      <c r="J95" s="184"/>
      <c r="K95" s="48" t="b">
        <v>0</v>
      </c>
      <c r="L95" s="1"/>
    </row>
    <row r="96" spans="1:12" s="29" customFormat="1" ht="119" x14ac:dyDescent="0.15">
      <c r="A96" s="19" t="str">
        <f>Organization!$A$37</f>
      </c>
      <c r="B96" s="20">
        <f>VLOOKUP($A96,Organization!$A$13:$E$67,2,0)&amp;""</f>
      </c>
      <c r="C96" s="45">
        <f>VLOOKUP($A96,Organization!$A$13:$E$67,3,0)&amp;""</f>
      </c>
      <c r="D96" s="34">
        <f>IF(LEFT(VLOOKUP($A96,Organization!$A$13:$E$67,5,0),21)='Auto Responses'!$A$32,'Auto Responses'!$A$33,VLOOKUP($A96,Organization!$A$13:$E$67,4,0))&amp;""</f>
      </c>
      <c r="E96" s="323">
        <f>VLOOKUP($A96,Organization!$A$13:$E$67,5,0)&amp;""</f>
      </c>
      <c r="F96" s="194"/>
      <c r="G96" s="30" t="str">
        <f>VLOOKUP($A96,Questions!$A$2:$X$333,21,0)&amp;""</f>
      </c>
      <c r="H96" s="184"/>
      <c r="I96" s="45" t="str">
        <f>VLOOKUP($A96,Questions!$A$2:$X$333,23,0)&amp;""</f>
      </c>
      <c r="J96" s="184"/>
      <c r="K96" s="48" t="b">
        <v>0</v>
      </c>
      <c r="L96" s="1"/>
    </row>
    <row r="97" spans="1:12" s="29" customFormat="1" ht="119" x14ac:dyDescent="0.15">
      <c r="A97" s="19" t="str">
        <f>Organization!$A$38</f>
      </c>
      <c r="B97" s="20">
        <f>VLOOKUP($A97,Organization!$A$13:$E$67,2,0)&amp;""</f>
      </c>
      <c r="C97" s="45">
        <f>VLOOKUP($A97,Organization!$A$13:$E$67,3,0)&amp;""</f>
      </c>
      <c r="D97" s="34">
        <f>IF(LEFT(VLOOKUP($A97,Organization!$A$13:$E$67,5,0),21)='Auto Responses'!$A$32,'Auto Responses'!$A$33,VLOOKUP($A97,Organization!$A$13:$E$67,4,0))&amp;""</f>
      </c>
      <c r="E97" s="323">
        <f>VLOOKUP($A97,Organization!$A$13:$E$67,5,0)&amp;""</f>
      </c>
      <c r="F97" s="194"/>
      <c r="G97" s="30" t="str">
        <f>VLOOKUP($A97,Questions!$A$2:$X$333,21,0)&amp;""</f>
      </c>
      <c r="H97" s="184"/>
      <c r="I97" s="45" t="str">
        <f>VLOOKUP($A97,Questions!$A$2:$X$333,23,0)&amp;""</f>
      </c>
      <c r="J97" s="184"/>
      <c r="K97" s="48" t="b">
        <v>0</v>
      </c>
      <c r="L97" s="1"/>
    </row>
    <row r="98" spans="1:12" s="29" customFormat="1" ht="85" x14ac:dyDescent="0.15">
      <c r="A98" s="19" t="str">
        <f>Organization!$A$39</f>
      </c>
      <c r="B98" s="20">
        <f>VLOOKUP($A98,Organization!$A$13:$E$67,2,0)&amp;""</f>
      </c>
      <c r="C98" s="45">
        <f>VLOOKUP($A98,Organization!$A$13:$E$67,3,0)&amp;""</f>
      </c>
      <c r="D98" s="34">
        <f>IF(LEFT(VLOOKUP($A98,Organization!$A$13:$E$67,5,0),21)='Auto Responses'!$A$32,'Auto Responses'!$A$33,VLOOKUP($A98,Organization!$A$13:$E$67,4,0))&amp;""</f>
      </c>
      <c r="E98" s="323">
        <f>VLOOKUP($A98,Organization!$A$13:$E$67,5,0)&amp;""</f>
      </c>
      <c r="F98" s="194"/>
      <c r="G98" s="30" t="str">
        <f>VLOOKUP($A98,Questions!$A$2:$X$333,21,0)&amp;""</f>
      </c>
      <c r="H98" s="184"/>
      <c r="I98" s="45" t="str">
        <f>VLOOKUP($A98,Questions!$A$2:$X$333,23,0)&amp;""</f>
      </c>
      <c r="J98" s="184"/>
      <c r="K98" s="48" t="b">
        <v>0</v>
      </c>
      <c r="L98" s="1"/>
    </row>
    <row r="99" spans="1:12" s="29" customFormat="1" ht="272" x14ac:dyDescent="0.15">
      <c r="A99" s="19" t="str">
        <f>Organization!$A$40</f>
      </c>
      <c r="B99" s="20">
        <f>VLOOKUP($A99,Organization!$A$13:$E$67,2,0)&amp;""</f>
      </c>
      <c r="C99" s="45">
        <f>VLOOKUP($A99,Organization!$A$13:$E$67,3,0)&amp;""</f>
      </c>
      <c r="D99" s="34">
        <f>IF(LEFT(VLOOKUP($A99,Organization!$A$13:$E$67,5,0),21)='Auto Responses'!$A$32,'Auto Responses'!$A$33,VLOOKUP($A99,Organization!$A$13:$E$67,4,0))&amp;""</f>
      </c>
      <c r="E99" s="323">
        <f>VLOOKUP($A99,Organization!$A$13:$E$67,5,0)&amp;""</f>
      </c>
      <c r="F99" s="194"/>
      <c r="G99" s="30" t="str">
        <f>VLOOKUP($A99,Questions!$A$2:$X$333,21,0)&amp;""</f>
      </c>
      <c r="H99" s="184"/>
      <c r="I99" s="45" t="str">
        <f>VLOOKUP($A99,Questions!$A$2:$X$333,23,0)&amp;""</f>
      </c>
      <c r="J99" s="184"/>
      <c r="K99" s="48" t="b">
        <v>0</v>
      </c>
      <c r="L99" s="1"/>
    </row>
    <row r="100" spans="1:12" s="29" customFormat="1" ht="51" x14ac:dyDescent="0.15">
      <c r="A100" s="19" t="str">
        <f>Organization!$A$41</f>
      </c>
      <c r="B100" s="20">
        <f>VLOOKUP($A100,Organization!$A$13:$E$67,2,0)&amp;""</f>
      </c>
      <c r="C100" s="45">
        <f>VLOOKUP($A100,Organization!$A$13:$E$67,3,0)&amp;""</f>
      </c>
      <c r="D100" s="34">
        <f>IF(LEFT(VLOOKUP($A100,Organization!$A$13:$E$67,5,0),21)='Auto Responses'!$A$32,'Auto Responses'!$A$33,VLOOKUP($A100,Organization!$A$13:$E$67,4,0))&amp;""</f>
      </c>
      <c r="E100" s="323">
        <f>VLOOKUP($A100,Organization!$A$13:$E$67,5,0)&amp;""</f>
      </c>
      <c r="F100" s="194"/>
      <c r="G100" s="30" t="str">
        <f>VLOOKUP($A100,Questions!$A$2:$X$333,21,0)&amp;""</f>
      </c>
      <c r="H100" s="184"/>
      <c r="I100" s="45" t="str">
        <f>VLOOKUP($A100,Questions!$A$2:$X$333,23,0)&amp;""</f>
      </c>
      <c r="J100" s="184"/>
      <c r="K100" s="48" t="b">
        <v>0</v>
      </c>
      <c r="L100" s="1"/>
    </row>
    <row r="101" spans="1:12" s="29" customFormat="1" ht="102" x14ac:dyDescent="0.15">
      <c r="A101" s="19" t="str">
        <f>Organization!$A$42</f>
      </c>
      <c r="B101" s="20">
        <f>VLOOKUP($A101,Organization!$A$13:$E$67,2,0)&amp;""</f>
      </c>
      <c r="C101" s="45">
        <f>VLOOKUP($A101,Organization!$A$13:$E$67,3,0)&amp;""</f>
      </c>
      <c r="D101" s="34">
        <f>IF(LEFT(VLOOKUP($A101,Organization!$A$13:$E$67,5,0),21)='Auto Responses'!$A$32,'Auto Responses'!$A$33,VLOOKUP($A101,Organization!$A$13:$E$67,4,0))&amp;""</f>
      </c>
      <c r="E101" s="323">
        <f>VLOOKUP($A101,Organization!$A$13:$E$67,5,0)&amp;""</f>
      </c>
      <c r="F101" s="194"/>
      <c r="G101" s="30" t="str">
        <f>VLOOKUP($A101,Questions!$A$2:$X$333,21,0)&amp;""</f>
      </c>
      <c r="H101" s="184"/>
      <c r="I101" s="45" t="str">
        <f>VLOOKUP($A101,Questions!$A$2:$X$333,23,0)&amp;""</f>
      </c>
      <c r="J101" s="184"/>
      <c r="K101" s="48" t="b">
        <v>0</v>
      </c>
      <c r="L101" s="1"/>
    </row>
    <row r="102" spans="1:12" s="29" customFormat="1" ht="102" x14ac:dyDescent="0.15">
      <c r="A102" s="19" t="str">
        <f>Organization!$A$43</f>
      </c>
      <c r="B102" s="20">
        <f>VLOOKUP($A102,Organization!$A$13:$E$67,2,0)&amp;""</f>
      </c>
      <c r="C102" s="45">
        <f>VLOOKUP($A102,Organization!$A$13:$E$67,3,0)&amp;""</f>
      </c>
      <c r="D102" s="34">
        <f>IF(LEFT(VLOOKUP($A102,Organization!$A$13:$E$67,5,0),21)='Auto Responses'!$A$32,'Auto Responses'!$A$33,VLOOKUP($A102,Organization!$A$13:$E$67,4,0))&amp;""</f>
      </c>
      <c r="E102" s="323">
        <f>VLOOKUP($A102,Organization!$A$13:$E$67,5,0)&amp;""</f>
      </c>
      <c r="F102" s="194"/>
      <c r="G102" s="30" t="str">
        <f>VLOOKUP($A102,Questions!$A$2:$X$333,21,0)&amp;""</f>
      </c>
      <c r="H102" s="184"/>
      <c r="I102" s="45" t="str">
        <f>VLOOKUP($A102,Questions!$A$2:$X$333,23,0)&amp;""</f>
      </c>
      <c r="J102" s="184"/>
      <c r="K102" s="48" t="b">
        <v>0</v>
      </c>
      <c r="L102" s="1"/>
    </row>
    <row r="103" spans="1:12" s="29" customFormat="1" ht="68" x14ac:dyDescent="0.15">
      <c r="A103" s="19" t="str">
        <f>Organization!$A$44</f>
      </c>
      <c r="B103" s="20">
        <f>VLOOKUP($A103,Organization!$A$13:$E$67,2,0)&amp;""</f>
      </c>
      <c r="C103" s="45">
        <f>VLOOKUP($A103,Organization!$A$13:$E$67,3,0)&amp;""</f>
      </c>
      <c r="D103" s="34">
        <f>IF(LEFT(VLOOKUP($A103,Organization!$A$13:$E$67,5,0),21)='Auto Responses'!$A$32,'Auto Responses'!$A$33,VLOOKUP($A103,Organization!$A$13:$E$67,4,0))&amp;""</f>
      </c>
      <c r="E103" s="323">
        <f>VLOOKUP($A103,Organization!$A$13:$E$67,5,0)&amp;""</f>
      </c>
      <c r="F103" s="194"/>
      <c r="G103" s="30" t="str">
        <f>VLOOKUP($A103,Questions!$A$2:$X$333,21,0)&amp;""</f>
      </c>
      <c r="H103" s="184"/>
      <c r="I103" s="45" t="str">
        <f>VLOOKUP($A103,Questions!$A$2:$X$333,23,0)&amp;""</f>
      </c>
      <c r="J103" s="184"/>
      <c r="K103" s="48" t="b">
        <v>0</v>
      </c>
      <c r="L103" s="1"/>
    </row>
    <row r="104" spans="1:12" s="29" customFormat="1" ht="68" x14ac:dyDescent="0.15">
      <c r="A104" s="19" t="str">
        <f>Organization!$A$45</f>
      </c>
      <c r="B104" s="20">
        <f>VLOOKUP($A104,Organization!$A$13:$E$67,2,0)&amp;""</f>
      </c>
      <c r="C104" s="45">
        <f>VLOOKUP($A104,Organization!$A$13:$E$67,3,0)&amp;""</f>
      </c>
      <c r="D104" s="34">
        <f>IF(LEFT(VLOOKUP($A104,Organization!$A$13:$E$67,5,0),21)='Auto Responses'!$A$32,'Auto Responses'!$A$33,VLOOKUP($A104,Organization!$A$13:$E$67,4,0))&amp;""</f>
      </c>
      <c r="E104" s="323">
        <f>VLOOKUP($A104,Organization!$A$13:$E$67,5,0)&amp;""</f>
      </c>
      <c r="F104" s="194"/>
      <c r="G104" s="30" t="str">
        <f>VLOOKUP($A104,Questions!$A$2:$X$333,21,0)&amp;""</f>
      </c>
      <c r="H104" s="184"/>
      <c r="I104" s="45" t="str">
        <f>VLOOKUP($A104,Questions!$A$2:$X$333,23,0)&amp;""</f>
      </c>
      <c r="J104" s="184"/>
      <c r="K104" s="48" t="b">
        <v>0</v>
      </c>
      <c r="L104" s="1"/>
    </row>
    <row r="105" spans="1:12" s="29" customFormat="1" ht="51" x14ac:dyDescent="0.15">
      <c r="A105" s="19" t="str">
        <f>Organization!$A$46</f>
      </c>
      <c r="B105" s="20">
        <f>VLOOKUP($A105,Organization!$A$13:$E$67,2,0)&amp;""</f>
      </c>
      <c r="C105" s="45">
        <f>VLOOKUP($A105,Organization!$A$13:$E$67,3,0)&amp;""</f>
      </c>
      <c r="D105" s="34">
        <f>IF(LEFT(VLOOKUP($A105,Organization!$A$13:$E$67,5,0),21)='Auto Responses'!$A$32,'Auto Responses'!$A$33,VLOOKUP($A105,Organization!$A$13:$E$67,4,0))&amp;""</f>
      </c>
      <c r="E105" s="323">
        <f>VLOOKUP($A105,Organization!$A$13:$E$67,5,0)&amp;""</f>
      </c>
      <c r="F105" s="194"/>
      <c r="G105" s="30" t="str">
        <f>VLOOKUP($A105,Questions!$A$2:$X$333,21,0)&amp;""</f>
      </c>
      <c r="H105" s="184"/>
      <c r="I105" s="45" t="str">
        <f>VLOOKUP($A105,Questions!$A$2:$X$333,23,0)&amp;""</f>
      </c>
      <c r="J105" s="184"/>
      <c r="K105" s="48" t="b">
        <v>0</v>
      </c>
      <c r="L105" s="1"/>
    </row>
    <row r="106" spans="1:12" s="29" customFormat="1" ht="68" x14ac:dyDescent="0.15">
      <c r="A106" s="19" t="str">
        <f>Organization!$A$47</f>
      </c>
      <c r="B106" s="20">
        <f>VLOOKUP($A106,Organization!$A$13:$E$67,2,0)&amp;""</f>
      </c>
      <c r="C106" s="45">
        <f>VLOOKUP($A106,Organization!$A$13:$E$67,3,0)&amp;""</f>
      </c>
      <c r="D106" s="34">
        <f>IF(LEFT(VLOOKUP($A106,Organization!$A$13:$E$67,5,0),21)='Auto Responses'!$A$32,'Auto Responses'!$A$33,VLOOKUP($A106,Organization!$A$13:$E$67,4,0))&amp;""</f>
      </c>
      <c r="E106" s="323">
        <f>VLOOKUP($A106,Organization!$A$13:$E$67,5,0)&amp;""</f>
      </c>
      <c r="F106" s="194"/>
      <c r="G106" s="30" t="str">
        <f>VLOOKUP($A106,Questions!$A$2:$X$333,21,0)&amp;""</f>
      </c>
      <c r="H106" s="184"/>
      <c r="I106" s="45" t="str">
        <f>VLOOKUP($A106,Questions!$A$2:$X$333,23,0)&amp;""</f>
      </c>
      <c r="J106" s="184"/>
      <c r="K106" s="48" t="b">
        <v>0</v>
      </c>
      <c r="L106" s="1"/>
    </row>
    <row r="107" spans="1:12" s="29" customFormat="1" ht="68" x14ac:dyDescent="0.15">
      <c r="A107" s="19" t="str">
        <f>Organization!$A$48</f>
      </c>
      <c r="B107" s="20">
        <f>VLOOKUP($A107,Organization!$A$13:$E$67,2,0)&amp;""</f>
      </c>
      <c r="C107" s="45">
        <f>VLOOKUP($A107,Organization!$A$13:$E$67,3,0)&amp;""</f>
      </c>
      <c r="D107" s="34">
        <f>IF(LEFT(VLOOKUP($A107,Organization!$A$13:$E$67,5,0),21)='Auto Responses'!$A$32,'Auto Responses'!$A$33,VLOOKUP($A107,Organization!$A$13:$E$67,4,0))&amp;""</f>
      </c>
      <c r="E107" s="323">
        <f>VLOOKUP($A107,Organization!$A$13:$E$67,5,0)&amp;""</f>
      </c>
      <c r="F107" s="194"/>
      <c r="G107" s="30" t="str">
        <f>VLOOKUP($A107,Questions!$A$2:$X$333,21,0)&amp;""</f>
      </c>
      <c r="H107" s="184"/>
      <c r="I107" s="45" t="str">
        <f>VLOOKUP($A107,Questions!$A$2:$X$333,23,0)&amp;""</f>
      </c>
      <c r="J107" s="184"/>
      <c r="K107" s="48" t="b">
        <v>0</v>
      </c>
      <c r="L107" s="1"/>
    </row>
    <row r="108" spans="1:12" s="29" customFormat="1" ht="51" x14ac:dyDescent="0.15">
      <c r="A108" s="19" t="str">
        <f>Organization!$A$49</f>
      </c>
      <c r="B108" s="20">
        <f>VLOOKUP($A108,Organization!$A$13:$E$67,2,0)&amp;""</f>
      </c>
      <c r="C108" s="45">
        <f>VLOOKUP($A108,Organization!$A$13:$E$67,3,0)&amp;""</f>
      </c>
      <c r="D108" s="34">
        <f>IF(LEFT(VLOOKUP($A108,Organization!$A$13:$E$67,5,0),21)='Auto Responses'!$A$32,'Auto Responses'!$A$33,VLOOKUP($A108,Organization!$A$13:$E$67,4,0))&amp;""</f>
      </c>
      <c r="E108" s="323">
        <f>VLOOKUP($A108,Organization!$A$13:$E$67,5,0)&amp;""</f>
      </c>
      <c r="F108" s="194"/>
      <c r="G108" s="30" t="str">
        <f>VLOOKUP($A108,Questions!$A$2:$X$333,21,0)&amp;""</f>
      </c>
      <c r="H108" s="184"/>
      <c r="I108" s="45" t="str">
        <f>VLOOKUP($A108,Questions!$A$2:$X$333,23,0)&amp;""</f>
      </c>
      <c r="J108" s="184"/>
      <c r="K108" s="48" t="b">
        <v>0</v>
      </c>
      <c r="L108" s="1"/>
    </row>
    <row r="109" spans="1:12" s="29" customFormat="1" ht="102" x14ac:dyDescent="0.15">
      <c r="A109" s="19" t="str">
        <f>Organization!$A$50</f>
      </c>
      <c r="B109" s="20">
        <f>VLOOKUP($A109,Organization!$A$13:$E$67,2,0)&amp;""</f>
      </c>
      <c r="C109" s="45">
        <f>VLOOKUP($A109,Organization!$A$13:$E$67,3,0)&amp;""</f>
      </c>
      <c r="D109" s="34">
        <f>IF(LEFT(VLOOKUP($A109,Organization!$A$13:$E$67,5,0),21)='Auto Responses'!$A$32,'Auto Responses'!$A$33,VLOOKUP($A109,Organization!$A$13:$E$67,4,0))&amp;""</f>
      </c>
      <c r="E109" s="323">
        <f>VLOOKUP($A109,Organization!$A$13:$E$67,5,0)&amp;""</f>
      </c>
      <c r="F109" s="194"/>
      <c r="G109" s="30" t="str">
        <f>VLOOKUP($A109,Questions!$A$2:$X$333,21,0)&amp;""</f>
      </c>
      <c r="H109" s="184"/>
      <c r="I109" s="45" t="str">
        <f>VLOOKUP($A109,Questions!$A$2:$X$333,23,0)&amp;""</f>
      </c>
      <c r="J109" s="184"/>
      <c r="K109" s="48" t="b">
        <v>0</v>
      </c>
      <c r="L109" s="1"/>
    </row>
    <row r="110" spans="1:12" s="29" customFormat="1" ht="85" x14ac:dyDescent="0.15">
      <c r="A110" s="19" t="str">
        <f>Organization!$A$51</f>
      </c>
      <c r="B110" s="20">
        <f>VLOOKUP($A110,Organization!$A$13:$E$67,2,0)&amp;""</f>
      </c>
      <c r="C110" s="45">
        <f>VLOOKUP($A110,Organization!$A$13:$E$67,3,0)&amp;""</f>
      </c>
      <c r="D110" s="34">
        <f>IF(LEFT(VLOOKUP($A110,Organization!$A$13:$E$67,5,0),21)='Auto Responses'!$A$32,'Auto Responses'!$A$33,VLOOKUP($A110,Organization!$A$13:$E$67,4,0))&amp;""</f>
      </c>
      <c r="E110" s="323">
        <f>VLOOKUP($A110,Organization!$A$13:$E$67,5,0)&amp;""</f>
      </c>
      <c r="F110" s="194"/>
      <c r="G110" s="30" t="str">
        <f>VLOOKUP($A110,Questions!$A$2:$X$333,21,0)&amp;""</f>
      </c>
      <c r="H110" s="184"/>
      <c r="I110" s="45" t="str">
        <f>VLOOKUP($A110,Questions!$A$2:$X$333,23,0)&amp;""</f>
      </c>
      <c r="J110" s="184"/>
      <c r="K110" s="48" t="b">
        <v>0</v>
      </c>
      <c r="L110" s="1"/>
    </row>
    <row r="111" spans="1:12" s="1" customFormat="1" ht="18" x14ac:dyDescent="0.15">
      <c r="A111" s="63" t="str">
        <f>VLOOKUP(LEFT($A112,4),'Auto Responses'!$N$4:$O$38,2,0)&amp;""</f>
        <v xml:space="preserve"> Policies, Processes, and Procedures</v>
      </c>
      <c r="B111" s="22"/>
      <c r="C111" s="31"/>
      <c r="D111" s="31"/>
      <c r="E111" s="324"/>
      <c r="F111" s="361" t="s">
        <v>1030</v>
      </c>
      <c r="G111" s="328" t="s">
        <v>869</v>
      </c>
      <c r="H111" s="328" t="s">
        <v>871</v>
      </c>
      <c r="I111" s="328" t="s">
        <v>19</v>
      </c>
      <c r="J111" s="328" t="s">
        <v>856</v>
      </c>
      <c r="K111" s="328" t="s">
        <v>867</v>
      </c>
    </row>
    <row r="112" spans="1:12" s="29" customFormat="1" ht="34" x14ac:dyDescent="0.15">
      <c r="A112" s="19">
        <f>Organization!$A$53</f>
      </c>
      <c r="B112" s="20">
        <f>VLOOKUP($A112,Organization!$A$13:$E$67,2,0)&amp;""</f>
      </c>
      <c r="C112" s="45">
        <f>VLOOKUP($A112,Organization!$A$13:$E$67,3,0)&amp;""</f>
      </c>
      <c r="D112" s="34">
        <f>IF(LEFT(VLOOKUP($A112,Organization!$A$13:$E$67,5,0),21)='Auto Responses'!$A$32,'Auto Responses'!$A$33,VLOOKUP($A112,Organization!$A$13:$E$67,4,0))&amp;""</f>
      </c>
      <c r="E112" s="323">
        <f>VLOOKUP($A112,Organization!$A$13:$E$67,5,0)&amp;""</f>
      </c>
      <c r="F112" s="194"/>
      <c r="G112" s="30" t="str">
        <f>VLOOKUP($A112,Questions!$A$2:$X$333,21,0)&amp;""</f>
      </c>
      <c r="H112" s="184"/>
      <c r="I112" s="45" t="str">
        <f>VLOOKUP($A112,Questions!$A$2:$X$333,23,0)&amp;""</f>
      </c>
      <c r="J112" s="184"/>
      <c r="K112" s="48" t="b">
        <v>0</v>
      </c>
      <c r="L112" s="1"/>
    </row>
    <row r="113" spans="1:12" s="29" customFormat="1" ht="102" x14ac:dyDescent="0.15">
      <c r="A113" s="19" t="str">
        <f>Organization!$A$54</f>
      </c>
      <c r="B113" s="20">
        <f>VLOOKUP($A113,Organization!$A$13:$E$67,2,0)&amp;""</f>
      </c>
      <c r="C113" s="45">
        <f>VLOOKUP($A113,Organization!$A$13:$E$67,3,0)&amp;""</f>
      </c>
      <c r="D113" s="34">
        <f>IF(LEFT(VLOOKUP($A113,Organization!$A$13:$E$67,5,0),21)='Auto Responses'!$A$32,'Auto Responses'!$A$33,VLOOKUP($A113,Organization!$A$13:$E$67,4,0))&amp;""</f>
      </c>
      <c r="E113" s="323">
        <f>VLOOKUP($A113,Organization!$A$13:$E$67,5,0)&amp;""</f>
      </c>
      <c r="F113" s="194"/>
      <c r="G113" s="30" t="str">
        <f>VLOOKUP($A113,Questions!$A$2:$X$333,21,0)&amp;""</f>
      </c>
      <c r="H113" s="184"/>
      <c r="I113" s="45" t="str">
        <f>VLOOKUP($A113,Questions!$A$2:$X$333,23,0)&amp;""</f>
      </c>
      <c r="J113" s="184"/>
      <c r="K113" s="48" t="b">
        <v>0</v>
      </c>
      <c r="L113" s="1"/>
    </row>
    <row r="114" spans="1:12" s="29" customFormat="1" ht="51" x14ac:dyDescent="0.15">
      <c r="A114" s="19" t="str">
        <f>Organization!$A$55</f>
      </c>
      <c r="B114" s="20">
        <f>VLOOKUP($A114,Organization!$A$13:$E$67,2,0)&amp;""</f>
      </c>
      <c r="C114" s="45">
        <f>VLOOKUP($A114,Organization!$A$13:$E$67,3,0)&amp;""</f>
      </c>
      <c r="D114" s="34">
        <f>IF(LEFT(VLOOKUP($A114,Organization!$A$13:$E$67,5,0),21)='Auto Responses'!$A$32,'Auto Responses'!$A$33,VLOOKUP($A114,Organization!$A$13:$E$67,4,0))&amp;""</f>
      </c>
      <c r="E114" s="323">
        <f>VLOOKUP($A114,Organization!$A$13:$E$67,5,0)&amp;""</f>
      </c>
      <c r="F114" s="194"/>
      <c r="G114" s="30" t="str">
        <f>VLOOKUP($A114,Questions!$A$2:$X$333,21,0)&amp;""</f>
      </c>
      <c r="H114" s="184"/>
      <c r="I114" s="45" t="str">
        <f>VLOOKUP($A114,Questions!$A$2:$X$333,23,0)&amp;""</f>
      </c>
      <c r="J114" s="184"/>
      <c r="K114" s="48" t="b">
        <v>0</v>
      </c>
      <c r="L114" s="1"/>
    </row>
    <row r="115" spans="1:12" s="29" customFormat="1" ht="68" x14ac:dyDescent="0.15">
      <c r="A115" s="19" t="str">
        <f>Organization!$A$56</f>
      </c>
      <c r="B115" s="20">
        <f>VLOOKUP($A115,Organization!$A$13:$E$67,2,0)&amp;""</f>
      </c>
      <c r="C115" s="45">
        <f>VLOOKUP($A115,Organization!$A$13:$E$67,3,0)&amp;""</f>
      </c>
      <c r="D115" s="34">
        <f>IF(LEFT(VLOOKUP($A115,Organization!$A$13:$E$67,5,0),21)='Auto Responses'!$A$32,'Auto Responses'!$A$33,VLOOKUP($A115,Organization!$A$13:$E$67,4,0))&amp;""</f>
      </c>
      <c r="E115" s="323">
        <f>VLOOKUP($A115,Organization!$A$13:$E$67,5,0)&amp;""</f>
      </c>
      <c r="F115" s="194"/>
      <c r="G115" s="30" t="str">
        <f>VLOOKUP($A115,Questions!$A$2:$X$333,21,0)&amp;""</f>
      </c>
      <c r="H115" s="184"/>
      <c r="I115" s="45" t="str">
        <f>VLOOKUP($A115,Questions!$A$2:$X$333,23,0)&amp;""</f>
      </c>
      <c r="J115" s="184"/>
      <c r="K115" s="48" t="b">
        <v>0</v>
      </c>
      <c r="L115" s="1"/>
    </row>
    <row r="116" spans="1:12" s="29" customFormat="1" ht="34" x14ac:dyDescent="0.15">
      <c r="A116" s="19" t="str">
        <f>Organization!$A$57</f>
      </c>
      <c r="B116" s="20">
        <f>VLOOKUP($A116,Organization!$A$13:$E$67,2,0)&amp;""</f>
      </c>
      <c r="C116" s="45">
        <f>VLOOKUP($A116,Organization!$A$13:$E$67,3,0)&amp;""</f>
      </c>
      <c r="D116" s="34">
        <f>IF(LEFT(VLOOKUP($A116,Organization!$A$13:$E$67,5,0),21)='Auto Responses'!$A$32,'Auto Responses'!$A$33,VLOOKUP($A116,Organization!$A$13:$E$67,4,0))&amp;""</f>
      </c>
      <c r="E116" s="323">
        <f>VLOOKUP($A116,Organization!$A$13:$E$67,5,0)&amp;""</f>
      </c>
      <c r="F116" s="194"/>
      <c r="G116" s="30" t="str">
        <f>VLOOKUP($A116,Questions!$A$2:$X$333,21,0)&amp;""</f>
      </c>
      <c r="H116" s="184"/>
      <c r="I116" s="45" t="str">
        <f>VLOOKUP($A116,Questions!$A$2:$X$333,23,0)&amp;""</f>
      </c>
      <c r="J116" s="184"/>
      <c r="K116" s="48" t="b">
        <v>0</v>
      </c>
      <c r="L116" s="1"/>
    </row>
    <row r="117" spans="1:12" s="29" customFormat="1" ht="68" x14ac:dyDescent="0.15">
      <c r="A117" s="19" t="str">
        <f>Organization!$A$58</f>
      </c>
      <c r="B117" s="20">
        <f>VLOOKUP($A117,Organization!$A$13:$E$67,2,0)&amp;""</f>
      </c>
      <c r="C117" s="45">
        <f>VLOOKUP($A117,Organization!$A$13:$E$67,3,0)&amp;""</f>
      </c>
      <c r="D117" s="34">
        <f>IF(LEFT(VLOOKUP($A117,Organization!$A$13:$E$67,5,0),21)='Auto Responses'!$A$32,'Auto Responses'!$A$33,VLOOKUP($A117,Organization!$A$13:$E$67,4,0))&amp;""</f>
      </c>
      <c r="E117" s="323">
        <f>VLOOKUP($A117,Organization!$A$13:$E$67,5,0)&amp;""</f>
      </c>
      <c r="F117" s="194"/>
      <c r="G117" s="30" t="str">
        <f>VLOOKUP($A117,Questions!$A$2:$X$333,21,0)&amp;""</f>
      </c>
      <c r="H117" s="184"/>
      <c r="I117" s="45" t="str">
        <f>VLOOKUP($A117,Questions!$A$2:$X$333,23,0)&amp;""</f>
      </c>
      <c r="J117" s="184"/>
      <c r="K117" s="48" t="b">
        <v>0</v>
      </c>
      <c r="L117" s="1"/>
    </row>
    <row r="118" spans="1:12" s="29" customFormat="1" ht="85" x14ac:dyDescent="0.15">
      <c r="A118" s="19" t="str">
        <f>Organization!$A$59</f>
      </c>
      <c r="B118" s="20">
        <f>VLOOKUP($A118,Organization!$A$13:$E$67,2,0)&amp;""</f>
      </c>
      <c r="C118" s="45">
        <f>VLOOKUP($A118,Organization!$A$13:$E$67,3,0)&amp;""</f>
      </c>
      <c r="D118" s="34">
        <f>IF(LEFT(VLOOKUP($A118,Organization!$A$13:$E$67,5,0),21)='Auto Responses'!$A$32,'Auto Responses'!$A$33,VLOOKUP($A118,Organization!$A$13:$E$67,4,0))&amp;""</f>
      </c>
      <c r="E118" s="323">
        <f>VLOOKUP($A118,Organization!$A$13:$E$67,5,0)&amp;""</f>
      </c>
      <c r="F118" s="194"/>
      <c r="G118" s="30" t="str">
        <f>VLOOKUP($A118,Questions!$A$2:$X$333,21,0)&amp;""</f>
      </c>
      <c r="H118" s="184"/>
      <c r="I118" s="45" t="str">
        <f>VLOOKUP($A118,Questions!$A$2:$X$333,23,0)&amp;""</f>
      </c>
      <c r="J118" s="184"/>
      <c r="K118" s="48" t="b">
        <v>0</v>
      </c>
      <c r="L118" s="1"/>
    </row>
    <row r="119" spans="1:12" s="29" customFormat="1" ht="68" x14ac:dyDescent="0.15">
      <c r="A119" s="19" t="str">
        <f>Organization!$A$60</f>
      </c>
      <c r="B119" s="20">
        <f>VLOOKUP($A119,Organization!$A$13:$E$67,2,0)&amp;""</f>
      </c>
      <c r="C119" s="45">
        <f>VLOOKUP($A119,Organization!$A$13:$E$67,3,0)&amp;""</f>
      </c>
      <c r="D119" s="34">
        <f>IF(LEFT(VLOOKUP($A119,Organization!$A$13:$E$67,5,0),21)='Auto Responses'!$A$32,'Auto Responses'!$A$33,VLOOKUP($A119,Organization!$A$13:$E$67,4,0))&amp;""</f>
      </c>
      <c r="E119" s="323">
        <f>VLOOKUP($A119,Organization!$A$13:$E$67,5,0)&amp;""</f>
      </c>
      <c r="F119" s="194"/>
      <c r="G119" s="30" t="str">
        <f>VLOOKUP($A119,Questions!$A$2:$X$333,21,0)&amp;""</f>
      </c>
      <c r="H119" s="184"/>
      <c r="I119" s="45" t="str">
        <f>VLOOKUP($A119,Questions!$A$2:$X$333,23,0)&amp;""</f>
      </c>
      <c r="J119" s="184"/>
      <c r="K119" s="48" t="b">
        <v>0</v>
      </c>
      <c r="L119" s="1"/>
    </row>
    <row r="120" spans="1:12" s="29" customFormat="1" ht="102" x14ac:dyDescent="0.15">
      <c r="A120" s="19" t="str">
        <f>Organization!$A$61</f>
      </c>
      <c r="B120" s="20">
        <f>VLOOKUP($A120,Organization!$A$13:$E$67,2,0)&amp;""</f>
      </c>
      <c r="C120" s="45">
        <f>VLOOKUP($A120,Organization!$A$13:$E$67,3,0)&amp;""</f>
      </c>
      <c r="D120" s="34">
        <f>IF(LEFT(VLOOKUP($A120,Organization!$A$13:$E$67,5,0),21)='Auto Responses'!$A$32,'Auto Responses'!$A$33,VLOOKUP($A120,Organization!$A$13:$E$67,4,0))&amp;""</f>
      </c>
      <c r="E120" s="323">
        <f>VLOOKUP($A120,Organization!$A$13:$E$67,5,0)&amp;""</f>
      </c>
      <c r="F120" s="194"/>
      <c r="G120" s="30" t="str">
        <f>VLOOKUP($A120,Questions!$A$2:$X$333,21,0)&amp;""</f>
      </c>
      <c r="H120" s="184"/>
      <c r="I120" s="45" t="str">
        <f>VLOOKUP($A120,Questions!$A$2:$X$333,23,0)&amp;""</f>
      </c>
      <c r="J120" s="184"/>
      <c r="K120" s="48" t="b">
        <v>0</v>
      </c>
      <c r="L120" s="1"/>
    </row>
    <row r="121" spans="1:12" s="29" customFormat="1" ht="68" x14ac:dyDescent="0.15">
      <c r="A121" s="19" t="str">
        <f>Organization!$A$62</f>
      </c>
      <c r="B121" s="20">
        <f>VLOOKUP($A121,Organization!$A$13:$E$67,2,0)&amp;""</f>
      </c>
      <c r="C121" s="45">
        <f>VLOOKUP($A121,Organization!$A$13:$E$67,3,0)&amp;""</f>
      </c>
      <c r="D121" s="34">
        <f>IF(LEFT(VLOOKUP($A121,Organization!$A$13:$E$67,5,0),21)='Auto Responses'!$A$32,'Auto Responses'!$A$33,VLOOKUP($A121,Organization!$A$13:$E$67,4,0))&amp;""</f>
      </c>
      <c r="E121" s="323">
        <f>VLOOKUP($A121,Organization!$A$13:$E$67,5,0)&amp;""</f>
      </c>
      <c r="F121" s="194"/>
      <c r="G121" s="30" t="str">
        <f>VLOOKUP($A121,Questions!$A$2:$X$333,21,0)&amp;""</f>
      </c>
      <c r="H121" s="184"/>
      <c r="I121" s="45" t="str">
        <f>VLOOKUP($A121,Questions!$A$2:$X$333,23,0)&amp;""</f>
      </c>
      <c r="J121" s="184"/>
      <c r="K121" s="48" t="b">
        <v>0</v>
      </c>
      <c r="L121" s="1"/>
    </row>
    <row r="122" spans="1:12" s="29" customFormat="1" ht="68" x14ac:dyDescent="0.15">
      <c r="A122" s="19" t="str">
        <f>Organization!$A$63</f>
      </c>
      <c r="B122" s="20">
        <f>VLOOKUP($A122,Organization!$A$13:$E$67,2,0)&amp;""</f>
      </c>
      <c r="C122" s="45">
        <f>VLOOKUP($A122,Organization!$A$13:$E$67,3,0)&amp;""</f>
      </c>
      <c r="D122" s="34">
        <f>IF(LEFT(VLOOKUP($A122,Organization!$A$13:$E$67,5,0),21)='Auto Responses'!$A$32,'Auto Responses'!$A$33,VLOOKUP($A122,Organization!$A$13:$E$67,4,0))&amp;""</f>
      </c>
      <c r="E122" s="323">
        <f>VLOOKUP($A122,Organization!$A$13:$E$67,5,0)&amp;""</f>
      </c>
      <c r="F122" s="194"/>
      <c r="G122" s="30" t="str">
        <f>VLOOKUP($A122,Questions!$A$2:$X$333,21,0)&amp;""</f>
      </c>
      <c r="H122" s="184"/>
      <c r="I122" s="45" t="str">
        <f>VLOOKUP($A122,Questions!$A$2:$X$333,23,0)&amp;""</f>
      </c>
      <c r="J122" s="184"/>
      <c r="K122" s="48" t="b">
        <v>0</v>
      </c>
      <c r="L122" s="1"/>
    </row>
    <row r="123" spans="1:12" s="29" customFormat="1" ht="68" x14ac:dyDescent="0.15">
      <c r="A123" s="19" t="str">
        <f>Organization!$A$64</f>
      </c>
      <c r="B123" s="20">
        <f>VLOOKUP($A123,Organization!$A$13:$E$67,2,0)&amp;""</f>
      </c>
      <c r="C123" s="45">
        <f>VLOOKUP($A123,Organization!$A$13:$E$67,3,0)&amp;""</f>
      </c>
      <c r="D123" s="34">
        <f>IF(LEFT(VLOOKUP($A123,Organization!$A$13:$E$67,5,0),21)='Auto Responses'!$A$32,'Auto Responses'!$A$33,VLOOKUP($A123,Organization!$A$13:$E$67,4,0))&amp;""</f>
      </c>
      <c r="E123" s="323">
        <f>VLOOKUP($A123,Organization!$A$13:$E$67,5,0)&amp;""</f>
      </c>
      <c r="F123" s="194"/>
      <c r="G123" s="30" t="str">
        <f>VLOOKUP($A123,Questions!$A$2:$X$333,21,0)&amp;""</f>
      </c>
      <c r="H123" s="184"/>
      <c r="I123" s="45" t="str">
        <f>VLOOKUP($A123,Questions!$A$2:$X$333,23,0)&amp;""</f>
      </c>
      <c r="J123" s="184"/>
      <c r="K123" s="48" t="b">
        <v>0</v>
      </c>
      <c r="L123" s="1"/>
    </row>
    <row r="124" spans="1:12" s="29" customFormat="1" ht="85" x14ac:dyDescent="0.15">
      <c r="A124" s="19" t="str">
        <f>Organization!$A$65</f>
      </c>
      <c r="B124" s="20">
        <f>VLOOKUP($A124,Organization!$A$13:$E$67,2,0)&amp;""</f>
      </c>
      <c r="C124" s="45">
        <f>VLOOKUP($A124,Organization!$A$13:$E$67,3,0)&amp;""</f>
      </c>
      <c r="D124" s="34">
        <f>IF(LEFT(VLOOKUP($A124,Organization!$A$13:$E$67,5,0),21)='Auto Responses'!$A$32,'Auto Responses'!$A$33,VLOOKUP($A124,Organization!$A$13:$E$67,4,0))&amp;""</f>
      </c>
      <c r="E124" s="323">
        <f>VLOOKUP($A124,Organization!$A$13:$E$67,5,0)&amp;""</f>
      </c>
      <c r="F124" s="194"/>
      <c r="G124" s="30" t="str">
        <f>VLOOKUP($A124,Questions!$A$2:$X$333,21,0)&amp;""</f>
      </c>
      <c r="H124" s="184"/>
      <c r="I124" s="45" t="str">
        <f>VLOOKUP($A124,Questions!$A$2:$X$333,23,0)&amp;""</f>
      </c>
      <c r="J124" s="184"/>
      <c r="K124" s="48" t="b">
        <v>0</v>
      </c>
      <c r="L124" s="1"/>
    </row>
    <row r="125" spans="1:12" s="29" customFormat="1" ht="85" x14ac:dyDescent="0.15">
      <c r="A125" s="19" t="str">
        <f>Organization!$A$66</f>
      </c>
      <c r="B125" s="20">
        <f>VLOOKUP($A125,Organization!$A$13:$E$67,2,0)&amp;""</f>
      </c>
      <c r="C125" s="45">
        <f>VLOOKUP($A125,Organization!$A$13:$E$67,3,0)&amp;""</f>
      </c>
      <c r="D125" s="34">
        <f>IF(LEFT(VLOOKUP($A125,Organization!$A$13:$E$67,5,0),21)='Auto Responses'!$A$32,'Auto Responses'!$A$33,VLOOKUP($A125,Organization!$A$13:$E$67,4,0))&amp;""</f>
      </c>
      <c r="E125" s="323">
        <f>VLOOKUP($A125,Organization!$A$13:$E$67,5,0)&amp;""</f>
      </c>
      <c r="F125" s="194"/>
      <c r="G125" s="30" t="str">
        <f>VLOOKUP($A125,Questions!$A$2:$X$333,21,0)&amp;""</f>
      </c>
      <c r="H125" s="184"/>
      <c r="I125" s="45" t="str">
        <f>VLOOKUP($A125,Questions!$A$2:$X$333,23,0)&amp;""</f>
      </c>
      <c r="J125" s="184"/>
      <c r="K125" s="48" t="b">
        <v>0</v>
      </c>
      <c r="L125" s="1"/>
    </row>
    <row r="126" spans="1:12" s="29" customFormat="1" ht="86" thickBot="1" x14ac:dyDescent="0.2">
      <c r="A126" s="19" t="str">
        <f>Organization!$A$67</f>
      </c>
      <c r="B126" s="20">
        <f>VLOOKUP($A126,Organization!$A$13:$E$67,2,0)&amp;""</f>
      </c>
      <c r="C126" s="45">
        <f>VLOOKUP($A126,Organization!$A$13:$E$67,3,0)&amp;""</f>
      </c>
      <c r="D126" s="34">
        <f>IF(LEFT(VLOOKUP($A126,Organization!$A$13:$E$67,5,0),21)='Auto Responses'!$A$32,'Auto Responses'!$A$33,VLOOKUP($A126,Organization!$A$13:$E$67,4,0))&amp;""</f>
      </c>
      <c r="E126" s="323">
        <f>VLOOKUP($A126,Organization!$A$13:$E$67,5,0)&amp;""</f>
      </c>
      <c r="F126" s="194"/>
      <c r="G126" s="30" t="str">
        <f>VLOOKUP($A126,Questions!$A$2:$X$333,21,0)&amp;""</f>
      </c>
      <c r="H126" s="184"/>
      <c r="I126" s="45" t="str">
        <f>VLOOKUP($A126,Questions!$A$2:$X$333,23,0)&amp;""</f>
      </c>
      <c r="J126" s="184"/>
      <c r="K126" s="49" t="b">
        <v>0</v>
      </c>
      <c r="L126" s="1"/>
    </row>
    <row r="127" spans="1:12" s="1" customFormat="1" ht="18" x14ac:dyDescent="0.15">
      <c r="A127" s="63" t="str">
        <f>VLOOKUP(LEFT($A128,4),'Auto Responses'!$N$4:$O$38,2,0)&amp;""</f>
        <v xml:space="preserve"> Authentication, Authorization, and Account Management</v>
      </c>
      <c r="B127" s="22"/>
      <c r="C127" s="31"/>
      <c r="D127" s="31"/>
      <c r="E127" s="324"/>
      <c r="F127" s="361" t="s">
        <v>1030</v>
      </c>
      <c r="G127" s="328" t="s">
        <v>869</v>
      </c>
      <c r="H127" s="328" t="s">
        <v>871</v>
      </c>
      <c r="I127" s="328" t="s">
        <v>19</v>
      </c>
      <c r="J127" s="328" t="s">
        <v>856</v>
      </c>
      <c r="K127" s="328" t="s">
        <v>867</v>
      </c>
    </row>
    <row r="128" spans="1:12" s="29" customFormat="1" ht="136" x14ac:dyDescent="0.15">
      <c r="A128" s="19">
        <f>Product!$A$20</f>
      </c>
      <c r="B128" s="20">
        <f>VLOOKUP($A128,Product!$A$13:$E$61,2,0)&amp;""</f>
      </c>
      <c r="C128" s="45">
        <f>VLOOKUP($A128,Product!$A$13:$E$61,3,0)&amp;""</f>
      </c>
      <c r="D128" s="34">
        <f>IF(LEFT(VLOOKUP($A128,Product!$A$13:$E$61,5,0),21)='Auto Responses'!$A$32,'Auto Responses'!$A$33,VLOOKUP($A128,Product!$A$13:$E$61,4,0))&amp;""</f>
      </c>
      <c r="E128" s="323">
        <f>VLOOKUP($A128,Product!$A$13:$E$61,5,0)&amp;""</f>
      </c>
      <c r="F128" s="194"/>
      <c r="G128" s="30" t="str">
        <f>VLOOKUP($A128,Questions!$A$2:$X$333,21,0)&amp;""</f>
      </c>
      <c r="H128" s="184"/>
      <c r="I128" s="45" t="str">
        <f>VLOOKUP($A128,Questions!$A$2:$X$333,23,0)&amp;""</f>
      </c>
      <c r="J128" s="184"/>
      <c r="K128" s="48" t="b">
        <v>0</v>
      </c>
      <c r="L128" s="1"/>
    </row>
    <row r="129" spans="1:12" s="29" customFormat="1" ht="68" x14ac:dyDescent="0.15">
      <c r="A129" s="19" t="str">
        <f>Product!$A$21</f>
      </c>
      <c r="B129" s="20">
        <f>VLOOKUP($A129,Product!$A$13:$E$61,2,0)&amp;""</f>
      </c>
      <c r="C129" s="45">
        <f>VLOOKUP($A129,Product!$A$13:$E$61,3,0)&amp;""</f>
      </c>
      <c r="D129" s="34">
        <f>IF(LEFT(VLOOKUP($A129,Product!$A$13:$E$61,5,0),21)='Auto Responses'!$A$32,'Auto Responses'!$A$33,VLOOKUP($A129,Product!$A$13:$E$61,4,0))&amp;""</f>
      </c>
      <c r="E129" s="323">
        <f>VLOOKUP($A129,Product!$A$13:$E$61,5,0)&amp;""</f>
      </c>
      <c r="F129" s="194"/>
      <c r="G129" s="30" t="str">
        <f>VLOOKUP($A129,Questions!$A$2:$X$333,21,0)&amp;""</f>
      </c>
      <c r="H129" s="184"/>
      <c r="I129" s="45" t="str">
        <f>VLOOKUP($A129,Questions!$A$2:$X$333,23,0)&amp;""</f>
      </c>
      <c r="J129" s="184"/>
      <c r="K129" s="48" t="b">
        <v>0</v>
      </c>
      <c r="L129" s="1"/>
    </row>
    <row r="130" spans="1:12" s="29" customFormat="1" ht="119" x14ac:dyDescent="0.15">
      <c r="A130" s="19" t="str">
        <f>Product!$A$22</f>
      </c>
      <c r="B130" s="20">
        <f>VLOOKUP($A130,Product!$A$13:$E$61,2,0)&amp;""</f>
      </c>
      <c r="C130" s="45">
        <f>VLOOKUP($A130,Product!$A$13:$E$61,3,0)&amp;""</f>
      </c>
      <c r="D130" s="34">
        <f>IF(LEFT(VLOOKUP($A130,Product!$A$13:$E$61,5,0),21)='Auto Responses'!$A$32,'Auto Responses'!$A$33,VLOOKUP($A130,Product!$A$13:$E$61,4,0))&amp;""</f>
      </c>
      <c r="E130" s="323">
        <f>VLOOKUP($A130,Product!$A$13:$E$61,5,0)&amp;""</f>
      </c>
      <c r="F130" s="194"/>
      <c r="G130" s="30" t="str">
        <f>VLOOKUP($A130,Questions!$A$2:$X$333,21,0)&amp;""</f>
      </c>
      <c r="H130" s="184"/>
      <c r="I130" s="45" t="str">
        <f>VLOOKUP($A130,Questions!$A$2:$X$333,23,0)&amp;""</f>
      </c>
      <c r="J130" s="184"/>
      <c r="K130" s="48" t="b">
        <v>0</v>
      </c>
      <c r="L130" s="1"/>
    </row>
    <row r="131" spans="1:12" s="29" customFormat="1" ht="102" x14ac:dyDescent="0.15">
      <c r="A131" s="19" t="str">
        <f>Product!$A$23</f>
      </c>
      <c r="B131" s="20">
        <f>VLOOKUP($A131,Product!$A$13:$E$61,2,0)&amp;""</f>
      </c>
      <c r="C131" s="45">
        <f>VLOOKUP($A131,Product!$A$13:$E$61,3,0)&amp;""</f>
      </c>
      <c r="D131" s="34">
        <f>IF(LEFT(VLOOKUP($A131,Product!$A$13:$E$61,5,0),21)='Auto Responses'!$A$32,'Auto Responses'!$A$33,VLOOKUP($A131,Product!$A$13:$E$61,4,0))&amp;""</f>
      </c>
      <c r="E131" s="323">
        <f>VLOOKUP($A131,Product!$A$13:$E$61,5,0)&amp;""</f>
      </c>
      <c r="F131" s="194"/>
      <c r="G131" s="30" t="str">
        <f>VLOOKUP($A131,Questions!$A$2:$X$333,21,0)&amp;""</f>
      </c>
      <c r="H131" s="184"/>
      <c r="I131" s="45" t="str">
        <f>VLOOKUP($A131,Questions!$A$2:$X$333,23,0)&amp;""</f>
      </c>
      <c r="J131" s="184"/>
      <c r="K131" s="48" t="b">
        <v>0</v>
      </c>
      <c r="L131" s="1"/>
    </row>
    <row r="132" spans="1:12" s="29" customFormat="1" ht="136" x14ac:dyDescent="0.15">
      <c r="A132" s="19" t="str">
        <f>Product!$A$24</f>
      </c>
      <c r="B132" s="20">
        <f>VLOOKUP($A132,Product!$A$13:$E$61,2,0)&amp;""</f>
      </c>
      <c r="C132" s="45">
        <f>VLOOKUP($A132,Product!$A$13:$E$61,3,0)&amp;""</f>
      </c>
      <c r="D132" s="34">
        <f>IF(LEFT(VLOOKUP($A132,Product!$A$13:$E$61,5,0),21)='Auto Responses'!$A$32,'Auto Responses'!$A$33,VLOOKUP($A132,Product!$A$13:$E$61,4,0))&amp;""</f>
      </c>
      <c r="E132" s="323">
        <f>VLOOKUP($A132,Product!$A$13:$E$61,5,0)&amp;""</f>
      </c>
      <c r="F132" s="194"/>
      <c r="G132" s="30" t="str">
        <f>VLOOKUP($A132,Questions!$A$2:$X$333,21,0)&amp;""</f>
      </c>
      <c r="H132" s="184"/>
      <c r="I132" s="45" t="str">
        <f>VLOOKUP($A132,Questions!$A$2:$X$333,23,0)&amp;""</f>
      </c>
      <c r="J132" s="184"/>
      <c r="K132" s="48" t="b">
        <v>0</v>
      </c>
      <c r="L132" s="1"/>
    </row>
    <row r="133" spans="1:12" s="29" customFormat="1" ht="85" x14ac:dyDescent="0.15">
      <c r="A133" s="19" t="str">
        <f>Product!$A$25</f>
      </c>
      <c r="B133" s="20">
        <f>VLOOKUP($A133,Product!$A$13:$E$61,2,0)&amp;""</f>
      </c>
      <c r="C133" s="45">
        <f>VLOOKUP($A133,Product!$A$13:$E$61,3,0)&amp;""</f>
      </c>
      <c r="D133" s="34">
        <f>IF(LEFT(VLOOKUP($A133,Product!$A$13:$E$61,5,0),21)='Auto Responses'!$A$32,'Auto Responses'!$A$33,VLOOKUP($A133,Product!$A$13:$E$61,4,0))&amp;""</f>
      </c>
      <c r="E133" s="323">
        <f>VLOOKUP($A133,Product!$A$13:$E$61,5,0)&amp;""</f>
      </c>
      <c r="F133" s="194"/>
      <c r="G133" s="30" t="str">
        <f>VLOOKUP($A133,Questions!$A$2:$X$333,21,0)&amp;""</f>
      </c>
      <c r="H133" s="184"/>
      <c r="I133" s="45" t="str">
        <f>VLOOKUP($A133,Questions!$A$2:$X$333,23,0)&amp;""</f>
      </c>
      <c r="J133" s="184"/>
      <c r="K133" s="48" t="b">
        <v>0</v>
      </c>
      <c r="L133" s="1"/>
    </row>
    <row r="134" spans="1:12" s="29" customFormat="1" ht="34" x14ac:dyDescent="0.15">
      <c r="A134" s="19" t="str">
        <f>Product!$A$26</f>
      </c>
      <c r="B134" s="20">
        <f>VLOOKUP($A134,Product!$A$13:$E$61,2,0)&amp;""</f>
      </c>
      <c r="C134" s="45">
        <f>VLOOKUP($A134,Product!$A$13:$E$61,3,0)&amp;""</f>
      </c>
      <c r="D134" s="34">
        <f>IF(LEFT(VLOOKUP($A134,Product!$A$13:$E$61,5,0),21)='Auto Responses'!$A$32,'Auto Responses'!$A$33,VLOOKUP($A134,Product!$A$13:$E$61,4,0))&amp;""</f>
      </c>
      <c r="E134" s="323">
        <f>VLOOKUP($A134,Product!$A$13:$E$61,5,0)&amp;""</f>
      </c>
      <c r="F134" s="194"/>
      <c r="G134" s="30" t="str">
        <f>VLOOKUP($A134,Questions!$A$2:$X$333,21,0)&amp;""</f>
      </c>
      <c r="H134" s="184"/>
      <c r="I134" s="45" t="str">
        <f>VLOOKUP($A134,Questions!$A$2:$X$333,23,0)&amp;""</f>
      </c>
      <c r="J134" s="184"/>
      <c r="K134" s="48" t="b">
        <v>0</v>
      </c>
      <c r="L134" s="1"/>
    </row>
    <row r="135" spans="1:12" s="29" customFormat="1" ht="51" x14ac:dyDescent="0.15">
      <c r="A135" s="19" t="str">
        <f>Product!$A$27</f>
      </c>
      <c r="B135" s="20">
        <f>VLOOKUP($A135,Product!$A$13:$E$61,2,0)&amp;""</f>
      </c>
      <c r="C135" s="45">
        <f>VLOOKUP($A135,Product!$A$13:$E$61,3,0)&amp;""</f>
      </c>
      <c r="D135" s="34">
        <f>IF(LEFT(VLOOKUP($A135,Product!$A$13:$E$61,5,0),21)='Auto Responses'!$A$32,'Auto Responses'!$A$33,VLOOKUP($A135,Product!$A$13:$E$61,4,0))&amp;""</f>
      </c>
      <c r="E135" s="323">
        <f>VLOOKUP($A135,Product!$A$13:$E$61,5,0)&amp;""</f>
      </c>
      <c r="F135" s="194"/>
      <c r="G135" s="30" t="str">
        <f>VLOOKUP($A135,Questions!$A$2:$X$333,21,0)&amp;""</f>
      </c>
      <c r="H135" s="184"/>
      <c r="I135" s="45" t="str">
        <f>VLOOKUP($A135,Questions!$A$2:$X$333,23,0)&amp;""</f>
      </c>
      <c r="J135" s="184"/>
      <c r="K135" s="48" t="b">
        <v>0</v>
      </c>
      <c r="L135" s="1"/>
    </row>
    <row r="136" spans="1:12" s="29" customFormat="1" ht="102" x14ac:dyDescent="0.15">
      <c r="A136" s="19" t="str">
        <f>Product!$A$28</f>
      </c>
      <c r="B136" s="20">
        <f>VLOOKUP($A136,Product!$A$13:$E$61,2,0)&amp;""</f>
      </c>
      <c r="C136" s="45">
        <f>VLOOKUP($A136,Product!$A$13:$E$61,3,0)&amp;""</f>
      </c>
      <c r="D136" s="34">
        <f>IF(LEFT(VLOOKUP($A136,Product!$A$13:$E$61,5,0),21)='Auto Responses'!$A$32,'Auto Responses'!$A$33,VLOOKUP($A136,Product!$A$13:$E$61,4,0))&amp;""</f>
      </c>
      <c r="E136" s="323">
        <f>VLOOKUP($A136,Product!$A$13:$E$61,5,0)&amp;""</f>
      </c>
      <c r="F136" s="194"/>
      <c r="G136" s="30" t="str">
        <f>VLOOKUP($A136,Questions!$A$2:$X$333,21,0)&amp;""</f>
      </c>
      <c r="H136" s="184"/>
      <c r="I136" s="45" t="str">
        <f>VLOOKUP($A136,Questions!$A$2:$X$333,23,0)&amp;""</f>
      </c>
      <c r="J136" s="184"/>
      <c r="K136" s="48" t="b">
        <v>0</v>
      </c>
      <c r="L136" s="1"/>
    </row>
    <row r="137" spans="1:12" s="29" customFormat="1" ht="289" x14ac:dyDescent="0.15">
      <c r="A137" s="19" t="str">
        <f>Product!$A$29</f>
      </c>
      <c r="B137" s="20">
        <f>VLOOKUP($A137,Product!$A$13:$E$61,2,0)&amp;""</f>
      </c>
      <c r="C137" s="299">
        <f>VLOOKUP($A137,Product!$A$13:$E$61,3,0)&amp;""</f>
      </c>
      <c r="D137" s="300">
        <f>IF(LEFT(VLOOKUP($A137,Product!$A$13:$E$61,5,0),21)='Auto Responses'!$A$32,'Auto Responses'!$A$33,VLOOKUP($A137,Product!$A$13:$E$61,4,0))&amp;""</f>
      </c>
      <c r="E137" s="325">
        <f>VLOOKUP($A137,Product!$A$13:$E$61,5,0)&amp;""</f>
      </c>
      <c r="F137" s="194"/>
      <c r="G137" s="30" t="str">
        <f>VLOOKUP($A137,Questions!$A$2:$X$333,21,0)&amp;""</f>
      </c>
      <c r="H137" s="184"/>
      <c r="I137" s="45" t="str">
        <f>VLOOKUP($A137,Questions!$A$2:$X$333,23,0)&amp;""</f>
      </c>
      <c r="J137" s="184"/>
      <c r="K137" s="48" t="b">
        <v>0</v>
      </c>
      <c r="L137" s="1"/>
    </row>
    <row r="138" spans="1:12" s="29" customFormat="1" ht="119" x14ac:dyDescent="0.15">
      <c r="A138" s="19" t="str">
        <f>Product!$A$30</f>
      </c>
      <c r="B138" s="20">
        <f>VLOOKUP($A138,Product!$A$13:$E$61,2,0)&amp;""</f>
      </c>
      <c r="C138" s="45">
        <f>VLOOKUP($A138,Product!$A$13:$E$61,3,0)&amp;""</f>
      </c>
      <c r="D138" s="34">
        <f>IF(LEFT(VLOOKUP($A138,Product!$A$13:$E$61,5,0),21)='Auto Responses'!$A$32,'Auto Responses'!$A$33,VLOOKUP($A138,Product!$A$13:$E$61,4,0))&amp;""</f>
      </c>
      <c r="E138" s="323">
        <f>VLOOKUP($A138,Product!$A$13:$E$61,5,0)&amp;""</f>
      </c>
      <c r="F138" s="194"/>
      <c r="G138" s="30" t="str">
        <f>VLOOKUP($A138,Questions!$A$2:$X$333,21,0)&amp;""</f>
      </c>
      <c r="H138" s="184"/>
      <c r="I138" s="45" t="str">
        <f>VLOOKUP($A138,Questions!$A$2:$X$333,23,0)&amp;""</f>
      </c>
      <c r="J138" s="184"/>
      <c r="K138" s="48" t="b">
        <v>0</v>
      </c>
      <c r="L138" s="1"/>
    </row>
    <row r="139" spans="1:12" s="29" customFormat="1" ht="119" x14ac:dyDescent="0.15">
      <c r="A139" s="19" t="str">
        <f>Product!$A$31</f>
      </c>
      <c r="B139" s="20">
        <f>VLOOKUP($A139,Product!$A$13:$E$61,2,0)&amp;""</f>
      </c>
      <c r="C139" s="45">
        <f>VLOOKUP($A139,Product!$A$13:$E$61,3,0)&amp;""</f>
      </c>
      <c r="D139" s="34">
        <f>IF(LEFT(VLOOKUP($A139,Product!$A$13:$E$61,5,0),21)='Auto Responses'!$A$32,'Auto Responses'!$A$33,VLOOKUP($A139,Product!$A$13:$E$61,4,0))&amp;""</f>
      </c>
      <c r="E139" s="323">
        <f>VLOOKUP($A139,Product!$A$13:$E$61,5,0)&amp;""</f>
      </c>
      <c r="F139" s="194"/>
      <c r="G139" s="30" t="str">
        <f>VLOOKUP($A139,Questions!$A$2:$X$333,21,0)&amp;""</f>
      </c>
      <c r="H139" s="184"/>
      <c r="I139" s="45" t="str">
        <f>VLOOKUP($A139,Questions!$A$2:$X$333,23,0)&amp;""</f>
      </c>
      <c r="J139" s="184"/>
      <c r="K139" s="48" t="b">
        <v>0</v>
      </c>
      <c r="L139" s="1"/>
    </row>
    <row r="140" spans="1:12" s="29" customFormat="1" ht="51" x14ac:dyDescent="0.15">
      <c r="A140" s="19" t="str">
        <f>Product!$A$32</f>
      </c>
      <c r="B140" s="20">
        <f>VLOOKUP($A140,Product!$A$13:$E$61,2,0)&amp;""</f>
      </c>
      <c r="C140" s="45">
        <f>VLOOKUP($A140,Product!$A$13:$E$61,3,0)&amp;""</f>
      </c>
      <c r="D140" s="34">
        <f>IF(LEFT(VLOOKUP($A140,Product!$A$13:$E$61,5,0),21)='Auto Responses'!$A$32,'Auto Responses'!$A$33,VLOOKUP($A140,Product!$A$13:$E$61,4,0))&amp;""</f>
      </c>
      <c r="E140" s="323">
        <f>VLOOKUP($A140,Product!$A$13:$E$61,5,0)&amp;""</f>
      </c>
      <c r="F140" s="194"/>
      <c r="G140" s="30" t="str">
        <f>VLOOKUP($A140,Questions!$A$2:$X$333,21,0)&amp;""</f>
      </c>
      <c r="H140" s="184"/>
      <c r="I140" s="45" t="str">
        <f>VLOOKUP($A140,Questions!$A$2:$X$333,23,0)&amp;""</f>
      </c>
      <c r="J140" s="184"/>
      <c r="K140" s="48" t="b">
        <v>0</v>
      </c>
      <c r="L140" s="1"/>
    </row>
    <row r="141" spans="1:12" s="29" customFormat="1" ht="85" x14ac:dyDescent="0.15">
      <c r="A141" s="19" t="str">
        <f>Product!$A$33</f>
      </c>
      <c r="B141" s="20">
        <f>VLOOKUP($A141,Product!$A$13:$E$61,2,0)&amp;""</f>
      </c>
      <c r="C141" s="45">
        <f>VLOOKUP($A141,Product!$A$13:$E$61,3,0)&amp;""</f>
      </c>
      <c r="D141" s="34">
        <f>IF(LEFT(VLOOKUP($A141,Product!$A$13:$E$61,5,0),21)='Auto Responses'!$A$32,'Auto Responses'!$A$33,VLOOKUP($A141,Product!$A$13:$E$61,4,0))&amp;""</f>
      </c>
      <c r="E141" s="323">
        <f>VLOOKUP($A141,Product!$A$13:$E$61,5,0)&amp;""</f>
      </c>
      <c r="F141" s="194"/>
      <c r="G141" s="30" t="str">
        <f>VLOOKUP($A141,Questions!$A$2:$X$333,21,0)&amp;""</f>
      </c>
      <c r="H141" s="184"/>
      <c r="I141" s="45" t="str">
        <f>VLOOKUP($A141,Questions!$A$2:$X$333,23,0)&amp;""</f>
      </c>
      <c r="J141" s="184"/>
      <c r="K141" s="48" t="b">
        <v>0</v>
      </c>
      <c r="L141" s="1"/>
    </row>
    <row r="142" spans="1:12" s="29" customFormat="1" ht="153" x14ac:dyDescent="0.15">
      <c r="A142" s="19" t="str">
        <f>Product!$A$34</f>
      </c>
      <c r="B142" s="20">
        <f>VLOOKUP($A142,Product!$A$13:$E$61,2,0)&amp;""</f>
      </c>
      <c r="C142" s="45">
        <f>VLOOKUP($A142,Product!$A$13:$E$61,3,0)&amp;""</f>
      </c>
      <c r="D142" s="34">
        <f>IF(LEFT(VLOOKUP($A142,Product!$A$13:$E$61,5,0),21)='Auto Responses'!$A$32,'Auto Responses'!$A$33,VLOOKUP($A142,Product!$A$13:$E$61,4,0))&amp;""</f>
      </c>
      <c r="E142" s="323">
        <f>VLOOKUP($A142,Product!$A$13:$E$61,5,0)&amp;""</f>
      </c>
      <c r="F142" s="194"/>
      <c r="G142" s="30" t="str">
        <f>VLOOKUP($A142,Questions!$A$2:$X$333,21,0)&amp;""</f>
      </c>
      <c r="H142" s="184"/>
      <c r="I142" s="45" t="str">
        <f>VLOOKUP($A142,Questions!$A$2:$X$333,23,0)&amp;""</f>
      </c>
      <c r="J142" s="184"/>
      <c r="K142" s="48" t="b">
        <v>0</v>
      </c>
      <c r="L142" s="1"/>
    </row>
    <row r="143" spans="1:12" s="29" customFormat="1" ht="119" x14ac:dyDescent="0.15">
      <c r="A143" s="19" t="str">
        <f>Product!$A$35</f>
      </c>
      <c r="B143" s="20">
        <f>VLOOKUP($A143,Product!$A$13:$E$61,2,0)&amp;""</f>
      </c>
      <c r="C143" s="45">
        <f>VLOOKUP($A143,Product!$A$13:$E$61,3,0)&amp;""</f>
      </c>
      <c r="D143" s="34">
        <f>IF(LEFT(VLOOKUP($A143,Product!$A$13:$E$61,5,0),21)='Auto Responses'!$A$32,'Auto Responses'!$A$33,VLOOKUP($A143,Product!$A$13:$E$61,4,0))&amp;""</f>
      </c>
      <c r="E143" s="323">
        <f>VLOOKUP($A143,Product!$A$13:$E$61,5,0)&amp;""</f>
      </c>
      <c r="F143" s="194"/>
      <c r="G143" s="30" t="str">
        <f>VLOOKUP($A143,Questions!$A$2:$X$333,21,0)&amp;""</f>
      </c>
      <c r="H143" s="184"/>
      <c r="I143" s="45" t="str">
        <f>VLOOKUP($A143,Questions!$A$2:$X$333,23,0)&amp;""</f>
      </c>
      <c r="J143" s="184"/>
      <c r="K143" s="48" t="b">
        <v>0</v>
      </c>
      <c r="L143" s="1"/>
    </row>
    <row r="144" spans="1:12" s="29" customFormat="1" ht="68" x14ac:dyDescent="0.15">
      <c r="A144" s="19" t="str">
        <f>Product!$A$36</f>
      </c>
      <c r="B144" s="20">
        <f>VLOOKUP($A144,Product!$A$13:$E$61,2,0)&amp;""</f>
      </c>
      <c r="C144" s="45">
        <f>VLOOKUP($A144,Product!$A$13:$E$61,3,0)&amp;""</f>
      </c>
      <c r="D144" s="34">
        <f>IF(LEFT(VLOOKUP($A144,Product!$A$13:$E$61,5,0),21)='Auto Responses'!$A$32,'Auto Responses'!$A$33,VLOOKUP($A144,Product!$A$13:$E$61,4,0))&amp;""</f>
      </c>
      <c r="E144" s="323">
        <f>VLOOKUP($A144,Product!$A$13:$E$61,5,0)&amp;""</f>
      </c>
      <c r="F144" s="194"/>
      <c r="G144" s="30" t="str">
        <f>VLOOKUP($A144,Questions!$A$2:$X$333,21,0)&amp;""</f>
      </c>
      <c r="H144" s="184"/>
      <c r="I144" s="45" t="str">
        <f>VLOOKUP($A144,Questions!$A$2:$X$333,23,0)&amp;""</f>
      </c>
      <c r="J144" s="184"/>
      <c r="K144" s="48" t="b">
        <v>0</v>
      </c>
      <c r="L144" s="1"/>
    </row>
    <row r="145" spans="1:12" s="29" customFormat="1" ht="51" x14ac:dyDescent="0.15">
      <c r="A145" s="19" t="str">
        <f>Product!$A$37</f>
      </c>
      <c r="B145" s="20">
        <f>VLOOKUP($A145,Product!$A$13:$E$61,2,0)&amp;""</f>
      </c>
      <c r="C145" s="45">
        <f>VLOOKUP($A145,Product!$A$13:$E$61,3,0)&amp;""</f>
      </c>
      <c r="D145" s="34">
        <f>IF(LEFT(VLOOKUP($A145,Product!$A$13:$E$61,5,0),21)='Auto Responses'!$A$32,'Auto Responses'!$A$33,VLOOKUP($A145,Product!$A$13:$E$61,4,0))&amp;""</f>
      </c>
      <c r="E145" s="323">
        <f>VLOOKUP($A145,Product!$A$13:$E$61,5,0)&amp;""</f>
      </c>
      <c r="F145" s="194"/>
      <c r="G145" s="30" t="str">
        <f>VLOOKUP($A145,Questions!$A$2:$X$333,21,0)&amp;""</f>
      </c>
      <c r="H145" s="184"/>
      <c r="I145" s="45" t="str">
        <f>VLOOKUP($A145,Questions!$A$2:$X$333,23,0)&amp;""</f>
      </c>
      <c r="J145" s="184"/>
      <c r="K145" s="48" t="b">
        <v>0</v>
      </c>
      <c r="L145" s="1"/>
    </row>
    <row r="146" spans="1:12" s="1" customFormat="1" ht="18" x14ac:dyDescent="0.15">
      <c r="A146" s="63" t="str">
        <f>VLOOKUP(LEFT($A147,4),'Auto Responses'!$N$4:$O$38,2,0)&amp;""</f>
        <v xml:space="preserve"> Data</v>
      </c>
      <c r="B146" s="22"/>
      <c r="C146" s="31"/>
      <c r="D146" s="31"/>
      <c r="E146" s="324"/>
      <c r="F146" s="361" t="s">
        <v>1030</v>
      </c>
      <c r="G146" s="328" t="s">
        <v>869</v>
      </c>
      <c r="H146" s="328" t="s">
        <v>871</v>
      </c>
      <c r="I146" s="328" t="s">
        <v>19</v>
      </c>
      <c r="J146" s="328" t="s">
        <v>856</v>
      </c>
      <c r="K146" s="328" t="s">
        <v>867</v>
      </c>
    </row>
    <row r="147" spans="1:12" s="29" customFormat="1" ht="85" x14ac:dyDescent="0.15">
      <c r="A147" s="19">
        <f>Product!$A$39</f>
      </c>
      <c r="B147" s="20">
        <f>VLOOKUP($A147,Product!$A$13:$E$61,2,0)&amp;""</f>
      </c>
      <c r="C147" s="45">
        <f>VLOOKUP($A147,Product!$A$13:$E$61,3,0)&amp;""</f>
      </c>
      <c r="D147" s="34">
        <f>IF(LEFT(VLOOKUP($A147,Product!$A$13:$E$61,5,0),21)='Auto Responses'!$A$32,'Auto Responses'!$A$33,VLOOKUP($A147,Product!$A$13:$E$61,4,0))&amp;""</f>
      </c>
      <c r="E147" s="323">
        <f>VLOOKUP($A147,Product!$A$13:$E$61,5,0)&amp;""</f>
      </c>
      <c r="F147" s="194"/>
      <c r="G147" s="30" t="str">
        <f>VLOOKUP($A147,Questions!$A$2:$X$333,21,0)&amp;""</f>
      </c>
      <c r="H147" s="184"/>
      <c r="I147" s="45" t="str">
        <f>VLOOKUP($A147,Questions!$A$2:$X$333,23,0)&amp;""</f>
      </c>
      <c r="J147" s="184"/>
      <c r="K147" s="48" t="b">
        <v>0</v>
      </c>
      <c r="L147" s="1"/>
    </row>
    <row r="148" spans="1:12" s="29" customFormat="1" ht="153" x14ac:dyDescent="0.15">
      <c r="A148" s="19" t="str">
        <f>Product!$A$40</f>
      </c>
      <c r="B148" s="20">
        <f>VLOOKUP($A148,Product!$A$13:$E$61,2,0)&amp;""</f>
      </c>
      <c r="C148" s="45">
        <f>VLOOKUP($A148,Product!$A$13:$E$61,3,0)&amp;""</f>
      </c>
      <c r="D148" s="34">
        <f>IF(LEFT(VLOOKUP($A148,Product!$A$13:$E$61,5,0),21)='Auto Responses'!$A$32,'Auto Responses'!$A$33,VLOOKUP($A148,Product!$A$13:$E$61,4,0))&amp;""</f>
      </c>
      <c r="E148" s="323">
        <f>VLOOKUP($A148,Product!$A$13:$E$61,5,0)&amp;""</f>
      </c>
      <c r="F148" s="194"/>
      <c r="G148" s="30" t="str">
        <f>VLOOKUP($A148,Questions!$A$2:$X$333,21,0)&amp;""</f>
      </c>
      <c r="H148" s="184"/>
      <c r="I148" s="45" t="str">
        <f>VLOOKUP($A148,Questions!$A$2:$X$333,23,0)&amp;""</f>
      </c>
      <c r="J148" s="184"/>
      <c r="K148" s="48" t="b">
        <v>0</v>
      </c>
      <c r="L148" s="1"/>
    </row>
    <row r="149" spans="1:12" s="29" customFormat="1" ht="102" x14ac:dyDescent="0.15">
      <c r="A149" s="19" t="str">
        <f>Product!$A$41</f>
      </c>
      <c r="B149" s="20">
        <f>VLOOKUP($A149,Product!$A$13:$E$61,2,0)&amp;""</f>
      </c>
      <c r="C149" s="45">
        <f>VLOOKUP($A149,Product!$A$13:$E$61,3,0)&amp;""</f>
      </c>
      <c r="D149" s="34">
        <f>IF(LEFT(VLOOKUP($A149,Product!$A$13:$E$61,5,0),21)='Auto Responses'!$A$32,'Auto Responses'!$A$33,VLOOKUP($A149,Product!$A$13:$E$61,4,0))&amp;""</f>
      </c>
      <c r="E149" s="323">
        <f>VLOOKUP($A149,Product!$A$13:$E$61,5,0)&amp;""</f>
      </c>
      <c r="F149" s="194"/>
      <c r="G149" s="30" t="str">
        <f>VLOOKUP($A149,Questions!$A$2:$X$333,21,0)&amp;""</f>
      </c>
      <c r="H149" s="184"/>
      <c r="I149" s="45" t="str">
        <f>VLOOKUP($A149,Questions!$A$2:$X$333,23,0)&amp;""</f>
      </c>
      <c r="J149" s="184"/>
      <c r="K149" s="48" t="b">
        <v>0</v>
      </c>
      <c r="L149" s="1"/>
    </row>
    <row r="150" spans="1:12" s="29" customFormat="1" ht="51" x14ac:dyDescent="0.15">
      <c r="A150" s="19" t="str">
        <f>Product!$A$42</f>
      </c>
      <c r="B150" s="20">
        <f>VLOOKUP($A150,Product!$A$13:$E$61,2,0)&amp;""</f>
      </c>
      <c r="C150" s="45">
        <f>VLOOKUP($A150,Product!$A$13:$E$61,3,0)&amp;""</f>
      </c>
      <c r="D150" s="34">
        <f>IF(LEFT(VLOOKUP($A150,Product!$A$13:$E$61,5,0),21)='Auto Responses'!$A$32,'Auto Responses'!$A$33,VLOOKUP($A150,Product!$A$13:$E$61,4,0))&amp;""</f>
      </c>
      <c r="E150" s="323">
        <f>VLOOKUP($A150,Product!$A$13:$E$61,5,0)&amp;""</f>
      </c>
      <c r="F150" s="194"/>
      <c r="G150" s="30" t="str">
        <f>VLOOKUP($A150,Questions!$A$2:$X$333,21,0)&amp;""</f>
      </c>
      <c r="H150" s="184"/>
      <c r="I150" s="45" t="str">
        <f>VLOOKUP($A150,Questions!$A$2:$X$333,23,0)&amp;""</f>
      </c>
      <c r="J150" s="184"/>
      <c r="K150" s="48" t="b">
        <v>0</v>
      </c>
      <c r="L150" s="1"/>
    </row>
    <row r="151" spans="1:12" s="29" customFormat="1" ht="102" x14ac:dyDescent="0.15">
      <c r="A151" s="19" t="str">
        <f>Product!$A$43</f>
      </c>
      <c r="B151" s="20">
        <f>VLOOKUP($A151,Product!$A$13:$E$61,2,0)&amp;""</f>
      </c>
      <c r="C151" s="45">
        <f>VLOOKUP($A151,Product!$A$13:$E$61,3,0)&amp;""</f>
      </c>
      <c r="D151" s="34">
        <f>IF(LEFT(VLOOKUP($A151,Product!$A$13:$E$61,5,0),21)='Auto Responses'!$A$32,'Auto Responses'!$A$33,VLOOKUP($A151,Product!$A$13:$E$61,4,0))&amp;""</f>
      </c>
      <c r="E151" s="323">
        <f>VLOOKUP($A151,Product!$A$13:$E$61,5,0)&amp;""</f>
      </c>
      <c r="F151" s="194"/>
      <c r="G151" s="30" t="str">
        <f>VLOOKUP($A151,Questions!$A$2:$X$333,21,0)&amp;""</f>
      </c>
      <c r="H151" s="184"/>
      <c r="I151" s="45" t="str">
        <f>VLOOKUP($A151,Questions!$A$2:$X$333,23,0)&amp;""</f>
      </c>
      <c r="J151" s="184"/>
      <c r="K151" s="48" t="b">
        <v>0</v>
      </c>
      <c r="L151" s="1"/>
    </row>
    <row r="152" spans="1:12" s="29" customFormat="1" ht="34" x14ac:dyDescent="0.15">
      <c r="A152" s="19" t="str">
        <f>Product!$A$44</f>
      </c>
      <c r="B152" s="20">
        <f>VLOOKUP($A152,Product!$A$13:$E$61,2,0)&amp;""</f>
      </c>
      <c r="C152" s="45">
        <f>VLOOKUP($A152,Product!$A$13:$E$61,3,0)&amp;""</f>
      </c>
      <c r="D152" s="34">
        <f>IF(LEFT(VLOOKUP($A152,Product!$A$13:$E$61,5,0),21)='Auto Responses'!$A$32,'Auto Responses'!$A$33,VLOOKUP($A152,Product!$A$13:$E$61,4,0))&amp;""</f>
      </c>
      <c r="E152" s="323">
        <f>VLOOKUP($A152,Product!$A$13:$E$61,5,0)&amp;""</f>
      </c>
      <c r="F152" s="194"/>
      <c r="G152" s="30" t="str">
        <f>VLOOKUP($A152,Questions!$A$2:$X$333,21,0)&amp;""</f>
      </c>
      <c r="H152" s="184"/>
      <c r="I152" s="45" t="str">
        <f>VLOOKUP($A152,Questions!$A$2:$X$333,23,0)&amp;""</f>
      </c>
      <c r="J152" s="184"/>
      <c r="K152" s="48" t="b">
        <v>0</v>
      </c>
      <c r="L152" s="1"/>
    </row>
    <row r="153" spans="1:12" s="29" customFormat="1" ht="34" x14ac:dyDescent="0.15">
      <c r="A153" s="19" t="str">
        <f>Product!$A$45</f>
      </c>
      <c r="B153" s="20">
        <f>VLOOKUP($A153,Product!$A$13:$E$61,2,0)&amp;""</f>
      </c>
      <c r="C153" s="45">
        <f>VLOOKUP($A153,Product!$A$13:$E$61,3,0)&amp;""</f>
      </c>
      <c r="D153" s="34">
        <f>IF(LEFT(VLOOKUP($A153,Product!$A$13:$E$61,5,0),21)='Auto Responses'!$A$32,'Auto Responses'!$A$33,VLOOKUP($A153,Product!$A$13:$E$61,4,0))&amp;""</f>
      </c>
      <c r="E153" s="323">
        <f>VLOOKUP($A153,Product!$A$13:$E$61,5,0)&amp;""</f>
      </c>
      <c r="F153" s="194"/>
      <c r="G153" s="30" t="str">
        <f>VLOOKUP($A153,Questions!$A$2:$X$333,21,0)&amp;""</f>
      </c>
      <c r="H153" s="184"/>
      <c r="I153" s="45" t="str">
        <f>VLOOKUP($A153,Questions!$A$2:$X$333,23,0)&amp;""</f>
      </c>
      <c r="J153" s="184"/>
      <c r="K153" s="48" t="b">
        <v>0</v>
      </c>
      <c r="L153" s="1"/>
    </row>
    <row r="154" spans="1:12" s="29" customFormat="1" ht="51" x14ac:dyDescent="0.15">
      <c r="A154" s="19" t="str">
        <f>Product!$A$46</f>
      </c>
      <c r="B154" s="20">
        <f>VLOOKUP($A154,Product!$A$13:$E$61,2,0)&amp;""</f>
      </c>
      <c r="C154" s="45">
        <f>VLOOKUP($A154,Product!$A$13:$E$61,3,0)&amp;""</f>
      </c>
      <c r="D154" s="34">
        <f>IF(LEFT(VLOOKUP($A154,Product!$A$13:$E$61,5,0),21)='Auto Responses'!$A$32,'Auto Responses'!$A$33,VLOOKUP($A154,Product!$A$13:$E$61,4,0))&amp;""</f>
      </c>
      <c r="E154" s="323">
        <f>VLOOKUP($A154,Product!$A$13:$E$61,5,0)&amp;""</f>
      </c>
      <c r="F154" s="194"/>
      <c r="G154" s="30" t="str">
        <f>VLOOKUP($A154,Questions!$A$2:$X$333,21,0)&amp;""</f>
      </c>
      <c r="H154" s="184"/>
      <c r="I154" s="45" t="str">
        <f>VLOOKUP($A154,Questions!$A$2:$X$333,23,0)&amp;""</f>
      </c>
      <c r="J154" s="184"/>
      <c r="K154" s="48" t="b">
        <v>0</v>
      </c>
      <c r="L154" s="1"/>
    </row>
    <row r="155" spans="1:12" s="29" customFormat="1" ht="102" x14ac:dyDescent="0.15">
      <c r="A155" s="19" t="str">
        <f>Product!$A$47</f>
      </c>
      <c r="B155" s="20">
        <f>VLOOKUP($A155,Product!$A$13:$E$61,2,0)&amp;""</f>
      </c>
      <c r="C155" s="45">
        <f>VLOOKUP($A155,Product!$A$13:$E$61,3,0)&amp;""</f>
      </c>
      <c r="D155" s="34">
        <f>IF(LEFT(VLOOKUP($A155,Product!$A$13:$E$61,5,0),21)='Auto Responses'!$A$32,'Auto Responses'!$A$33,VLOOKUP($A155,Product!$A$13:$E$61,4,0))&amp;""</f>
      </c>
      <c r="E155" s="323">
        <f>VLOOKUP($A155,Product!$A$13:$E$61,5,0)&amp;""</f>
      </c>
      <c r="F155" s="194"/>
      <c r="G155" s="30" t="str">
        <f>VLOOKUP($A155,Questions!$A$2:$X$333,21,0)&amp;""</f>
      </c>
      <c r="H155" s="184"/>
      <c r="I155" s="45" t="str">
        <f>VLOOKUP($A155,Questions!$A$2:$X$333,23,0)&amp;""</f>
      </c>
      <c r="J155" s="184"/>
      <c r="K155" s="48" t="b">
        <v>0</v>
      </c>
      <c r="L155" s="1"/>
    </row>
    <row r="156" spans="1:12" s="29" customFormat="1" ht="85" x14ac:dyDescent="0.15">
      <c r="A156" s="19" t="str">
        <f>Product!$A$48</f>
      </c>
      <c r="B156" s="20">
        <f>VLOOKUP($A156,Product!$A$13:$E$61,2,0)&amp;""</f>
      </c>
      <c r="C156" s="45">
        <f>VLOOKUP($A156,Product!$A$13:$E$61,3,0)&amp;""</f>
      </c>
      <c r="D156" s="34">
        <f>IF(LEFT(VLOOKUP($A156,Product!$A$13:$E$61,5,0),21)='Auto Responses'!$A$32,'Auto Responses'!$A$33,VLOOKUP($A156,Product!$A$13:$E$61,4,0))&amp;""</f>
      </c>
      <c r="E156" s="323">
        <f>VLOOKUP($A156,Product!$A$13:$E$61,5,0)&amp;""</f>
      </c>
      <c r="F156" s="194"/>
      <c r="G156" s="30" t="str">
        <f>VLOOKUP($A156,Questions!$A$2:$X$333,21,0)&amp;""</f>
      </c>
      <c r="H156" s="184"/>
      <c r="I156" s="45" t="str">
        <f>VLOOKUP($A156,Questions!$A$2:$X$333,23,0)&amp;""</f>
      </c>
      <c r="J156" s="184"/>
      <c r="K156" s="48" t="b">
        <v>0</v>
      </c>
      <c r="L156" s="1"/>
    </row>
    <row r="157" spans="1:12" s="29" customFormat="1" ht="85" x14ac:dyDescent="0.15">
      <c r="A157" s="19" t="str">
        <f>Product!$A$49</f>
      </c>
      <c r="B157" s="20">
        <f>VLOOKUP($A157,Product!$A$13:$E$61,2,0)&amp;""</f>
      </c>
      <c r="C157" s="45">
        <f>VLOOKUP($A157,Product!$A$13:$E$61,3,0)&amp;""</f>
      </c>
      <c r="D157" s="34">
        <f>IF(LEFT(VLOOKUP($A157,Product!$A$13:$E$61,5,0),21)='Auto Responses'!$A$32,'Auto Responses'!$A$33,VLOOKUP($A157,Product!$A$13:$E$61,4,0))&amp;""</f>
      </c>
      <c r="E157" s="323">
        <f>VLOOKUP($A157,Product!$A$13:$E$61,5,0)&amp;""</f>
      </c>
      <c r="F157" s="194"/>
      <c r="G157" s="30" t="str">
        <f>VLOOKUP($A157,Questions!$A$2:$X$333,21,0)&amp;""</f>
      </c>
      <c r="H157" s="184"/>
      <c r="I157" s="45" t="str">
        <f>VLOOKUP($A157,Questions!$A$2:$X$333,23,0)&amp;""</f>
      </c>
      <c r="J157" s="184"/>
      <c r="K157" s="48" t="b">
        <v>0</v>
      </c>
      <c r="L157" s="1"/>
    </row>
    <row r="158" spans="1:12" s="29" customFormat="1" ht="68" x14ac:dyDescent="0.15">
      <c r="A158" s="19" t="str">
        <f>Product!$A$50</f>
      </c>
      <c r="B158" s="20">
        <f>VLOOKUP($A158,Product!$A$13:$E$61,2,0)&amp;""</f>
      </c>
      <c r="C158" s="45">
        <f>VLOOKUP($A158,Product!$A$13:$E$61,3,0)&amp;""</f>
      </c>
      <c r="D158" s="34">
        <f>IF(LEFT(VLOOKUP($A158,Product!$A$13:$E$61,5,0),21)='Auto Responses'!$A$32,'Auto Responses'!$A$33,VLOOKUP($A158,Product!$A$13:$E$61,4,0))&amp;""</f>
      </c>
      <c r="E158" s="323">
        <f>VLOOKUP($A158,Product!$A$13:$E$61,5,0)&amp;""</f>
      </c>
      <c r="F158" s="194"/>
      <c r="G158" s="30" t="str">
        <f>VLOOKUP($A158,Questions!$A$2:$X$333,21,0)&amp;""</f>
      </c>
      <c r="H158" s="184"/>
      <c r="I158" s="45" t="str">
        <f>VLOOKUP($A158,Questions!$A$2:$X$333,23,0)&amp;""</f>
      </c>
      <c r="J158" s="184"/>
      <c r="K158" s="48" t="b">
        <v>0</v>
      </c>
      <c r="L158" s="1"/>
    </row>
    <row r="159" spans="1:12" s="29" customFormat="1" ht="68" x14ac:dyDescent="0.15">
      <c r="A159" s="19" t="str">
        <f>Product!$A$51</f>
      </c>
      <c r="B159" s="20">
        <f>VLOOKUP($A159,Product!$A$13:$E$61,2,0)&amp;""</f>
      </c>
      <c r="C159" s="45">
        <f>VLOOKUP($A159,Product!$A$13:$E$61,3,0)&amp;""</f>
      </c>
      <c r="D159" s="34">
        <f>IF(LEFT(VLOOKUP($A159,Product!$A$13:$E$61,5,0),21)='Auto Responses'!$A$32,'Auto Responses'!$A$33,VLOOKUP($A159,Product!$A$13:$E$61,4,0))&amp;""</f>
      </c>
      <c r="E159" s="323">
        <f>VLOOKUP($A159,Product!$A$13:$E$61,5,0)&amp;""</f>
      </c>
      <c r="F159" s="194"/>
      <c r="G159" s="30" t="str">
        <f>VLOOKUP($A159,Questions!$A$2:$X$333,21,0)&amp;""</f>
      </c>
      <c r="H159" s="184"/>
      <c r="I159" s="45" t="str">
        <f>VLOOKUP($A159,Questions!$A$2:$X$333,23,0)&amp;""</f>
      </c>
      <c r="J159" s="184"/>
      <c r="K159" s="48" t="b">
        <v>0</v>
      </c>
      <c r="L159" s="1"/>
    </row>
    <row r="160" spans="1:12" s="29" customFormat="1" ht="68" x14ac:dyDescent="0.15">
      <c r="A160" s="19" t="str">
        <f>Product!$A$52</f>
      </c>
      <c r="B160" s="20">
        <f>VLOOKUP($A160,Product!$A$13:$E$61,2,0)&amp;""</f>
      </c>
      <c r="C160" s="45">
        <f>VLOOKUP($A160,Product!$A$13:$E$61,3,0)&amp;""</f>
      </c>
      <c r="D160" s="34">
        <f>IF(LEFT(VLOOKUP($A160,Product!$A$13:$E$61,5,0),21)='Auto Responses'!$A$32,'Auto Responses'!$A$33,VLOOKUP($A160,Product!$A$13:$E$61,4,0))&amp;""</f>
      </c>
      <c r="E160" s="323">
        <f>VLOOKUP($A160,Product!$A$13:$E$61,5,0)&amp;""</f>
      </c>
      <c r="F160" s="194"/>
      <c r="G160" s="30" t="str">
        <f>VLOOKUP($A160,Questions!$A$2:$X$333,21,0)&amp;""</f>
      </c>
      <c r="H160" s="184"/>
      <c r="I160" s="45" t="str">
        <f>VLOOKUP($A160,Questions!$A$2:$X$333,23,0)&amp;""</f>
      </c>
      <c r="J160" s="184"/>
      <c r="K160" s="48" t="b">
        <v>0</v>
      </c>
      <c r="L160" s="1"/>
    </row>
    <row r="161" spans="1:12" s="29" customFormat="1" ht="85" x14ac:dyDescent="0.15">
      <c r="A161" s="19" t="str">
        <f>Product!$A$53</f>
      </c>
      <c r="B161" s="20">
        <f>VLOOKUP($A161,Product!$A$13:$E$61,2,0)&amp;""</f>
      </c>
      <c r="C161" s="45">
        <f>VLOOKUP($A161,Product!$A$13:$E$61,3,0)&amp;""</f>
      </c>
      <c r="D161" s="34">
        <f>IF(LEFT(VLOOKUP($A161,Product!$A$13:$E$61,5,0),21)='Auto Responses'!$A$32,'Auto Responses'!$A$33,VLOOKUP($A161,Product!$A$13:$E$61,4,0))&amp;""</f>
      </c>
      <c r="E161" s="323">
        <f>VLOOKUP($A161,Product!$A$13:$E$61,5,0)&amp;""</f>
      </c>
      <c r="F161" s="194"/>
      <c r="G161" s="30" t="str">
        <f>VLOOKUP($A161,Questions!$A$2:$X$333,21,0)&amp;""</f>
      </c>
      <c r="H161" s="184"/>
      <c r="I161" s="45" t="str">
        <f>VLOOKUP($A161,Questions!$A$2:$X$333,23,0)&amp;""</f>
      </c>
      <c r="J161" s="184"/>
      <c r="K161" s="48" t="b">
        <v>0</v>
      </c>
      <c r="L161" s="1"/>
    </row>
    <row r="162" spans="1:12" s="29" customFormat="1" ht="68" x14ac:dyDescent="0.15">
      <c r="A162" s="19" t="str">
        <f>Product!$A$54</f>
      </c>
      <c r="B162" s="20">
        <f>VLOOKUP($A162,Product!$A$13:$E$61,2,0)&amp;""</f>
      </c>
      <c r="C162" s="45">
        <f>VLOOKUP($A162,Product!$A$13:$E$61,3,0)&amp;""</f>
      </c>
      <c r="D162" s="34">
        <f>IF(LEFT(VLOOKUP($A162,Product!$A$13:$E$61,5,0),21)='Auto Responses'!$A$32,'Auto Responses'!$A$33,VLOOKUP($A162,Product!$A$13:$E$61,4,0))&amp;""</f>
      </c>
      <c r="E162" s="323">
        <f>VLOOKUP($A162,Product!$A$13:$E$61,5,0)&amp;""</f>
      </c>
      <c r="F162" s="194"/>
      <c r="G162" s="30" t="str">
        <f>VLOOKUP($A162,Questions!$A$2:$X$333,21,0)&amp;""</f>
      </c>
      <c r="H162" s="184"/>
      <c r="I162" s="45" t="str">
        <f>VLOOKUP($A162,Questions!$A$2:$X$333,23,0)&amp;""</f>
      </c>
      <c r="J162" s="184"/>
      <c r="K162" s="48" t="b">
        <v>0</v>
      </c>
      <c r="L162" s="1"/>
    </row>
    <row r="163" spans="1:12" s="29" customFormat="1" ht="85" x14ac:dyDescent="0.15">
      <c r="A163" s="19" t="str">
        <f>Product!$A$55</f>
      </c>
      <c r="B163" s="20">
        <f>VLOOKUP($A163,Product!$A$13:$E$61,2,0)&amp;""</f>
      </c>
      <c r="C163" s="45">
        <f>VLOOKUP($A163,Product!$A$13:$E$61,3,0)&amp;""</f>
      </c>
      <c r="D163" s="34">
        <f>IF(LEFT(VLOOKUP($A163,Product!$A$13:$E$61,5,0),21)='Auto Responses'!$A$32,'Auto Responses'!$A$33,VLOOKUP($A163,Product!$A$13:$E$61,4,0))&amp;""</f>
      </c>
      <c r="E163" s="323">
        <f>VLOOKUP($A163,Product!$A$13:$E$61,5,0)&amp;""</f>
      </c>
      <c r="F163" s="194"/>
      <c r="G163" s="30" t="str">
        <f>VLOOKUP($A163,Questions!$A$2:$X$333,21,0)&amp;""</f>
      </c>
      <c r="H163" s="184"/>
      <c r="I163" s="45" t="str">
        <f>VLOOKUP($A163,Questions!$A$2:$X$333,23,0)&amp;""</f>
      </c>
      <c r="J163" s="184"/>
      <c r="K163" s="48" t="b">
        <v>0</v>
      </c>
      <c r="L163" s="1"/>
    </row>
    <row r="164" spans="1:12" s="29" customFormat="1" ht="45" x14ac:dyDescent="0.15">
      <c r="A164" s="19" t="str">
        <f>Product!$A$56</f>
      </c>
      <c r="B164" s="20">
        <f>VLOOKUP($A164,Product!$A$13:$E$61,2,0)&amp;""</f>
      </c>
      <c r="C164" s="45">
        <f>VLOOKUP($A164,Product!$A$13:$E$61,3,0)&amp;""</f>
      </c>
      <c r="D164" s="34">
        <f>IF(LEFT(VLOOKUP($A164,Product!$A$13:$E$61,5,0),21)='Auto Responses'!$A$32,'Auto Responses'!$A$33,VLOOKUP($A164,Product!$A$13:$E$61,4,0))&amp;""</f>
      </c>
      <c r="E164" s="323">
        <f>VLOOKUP($A164,Product!$A$13:$E$61,5,0)&amp;""</f>
      </c>
      <c r="F164" s="194"/>
      <c r="G164" s="30" t="str">
        <f>VLOOKUP($A164,Questions!$A$2:$X$333,21,0)&amp;""</f>
      </c>
      <c r="H164" s="184"/>
      <c r="I164" s="45" t="str">
        <f>VLOOKUP($A164,Questions!$A$2:$X$333,23,0)&amp;""</f>
      </c>
      <c r="J164" s="184"/>
      <c r="K164" s="48" t="b">
        <v>0</v>
      </c>
      <c r="L164" s="1"/>
    </row>
    <row r="165" spans="1:12" s="29" customFormat="1" ht="136" x14ac:dyDescent="0.15">
      <c r="A165" s="19" t="str">
        <f>Product!$A$57</f>
      </c>
      <c r="B165" s="20">
        <f>VLOOKUP($A165,Product!$A$13:$E$61,2,0)&amp;""</f>
      </c>
      <c r="C165" s="45">
        <f>VLOOKUP($A165,Product!$A$13:$E$61,3,0)&amp;""</f>
      </c>
      <c r="D165" s="34">
        <f>IF(LEFT(VLOOKUP($A165,Product!$A$13:$E$61,5,0),21)='Auto Responses'!$A$32,'Auto Responses'!$A$33,VLOOKUP($A165,Product!$A$13:$E$61,4,0))&amp;""</f>
      </c>
      <c r="E165" s="323">
        <f>VLOOKUP($A165,Product!$A$13:$E$61,5,0)&amp;""</f>
      </c>
      <c r="F165" s="194"/>
      <c r="G165" s="30" t="str">
        <f>VLOOKUP($A165,Questions!$A$2:$X$333,21,0)&amp;""</f>
      </c>
      <c r="H165" s="184"/>
      <c r="I165" s="45" t="str">
        <f>VLOOKUP($A165,Questions!$A$2:$X$333,23,0)&amp;""</f>
      </c>
      <c r="J165" s="184"/>
      <c r="K165" s="48" t="b">
        <v>0</v>
      </c>
      <c r="L165" s="1"/>
    </row>
    <row r="166" spans="1:12" s="29" customFormat="1" ht="51" x14ac:dyDescent="0.15">
      <c r="A166" s="19" t="str">
        <f>Product!$A$58</f>
      </c>
      <c r="B166" s="20">
        <f>VLOOKUP($A166,Product!$A$13:$E$61,2,0)&amp;""</f>
      </c>
      <c r="C166" s="45">
        <f>VLOOKUP($A166,Product!$A$13:$E$61,3,0)&amp;""</f>
      </c>
      <c r="D166" s="34">
        <f>IF(LEFT(VLOOKUP($A166,Product!$A$13:$E$61,5,0),21)='Auto Responses'!$A$32,'Auto Responses'!$A$33,VLOOKUP($A166,Product!$A$13:$E$61,4,0))&amp;""</f>
      </c>
      <c r="E166" s="323">
        <f>VLOOKUP($A166,Product!$A$13:$E$61,5,0)&amp;""</f>
      </c>
      <c r="F166" s="194"/>
      <c r="G166" s="30" t="str">
        <f>VLOOKUP($A166,Questions!$A$2:$X$333,21,0)&amp;""</f>
      </c>
      <c r="H166" s="184"/>
      <c r="I166" s="45" t="str">
        <f>VLOOKUP($A166,Questions!$A$2:$X$333,23,0)&amp;""</f>
      </c>
      <c r="J166" s="184"/>
      <c r="K166" s="48" t="b">
        <v>0</v>
      </c>
      <c r="L166" s="1"/>
    </row>
    <row r="167" spans="1:12" s="29" customFormat="1" ht="68" x14ac:dyDescent="0.15">
      <c r="A167" s="19" t="str">
        <f>Product!$A$59</f>
      </c>
      <c r="B167" s="20">
        <f>VLOOKUP($A167,Product!$A$13:$E$61,2,0)&amp;""</f>
      </c>
      <c r="C167" s="45">
        <f>VLOOKUP($A167,Product!$A$13:$E$61,3,0)&amp;""</f>
      </c>
      <c r="D167" s="34">
        <f>IF(LEFT(VLOOKUP($A167,Product!$A$13:$E$61,5,0),21)='Auto Responses'!$A$32,'Auto Responses'!$A$33,VLOOKUP($A167,Product!$A$13:$E$61,4,0))&amp;""</f>
      </c>
      <c r="E167" s="323">
        <f>VLOOKUP($A167,Product!$A$13:$E$61,5,0)&amp;""</f>
      </c>
      <c r="F167" s="194"/>
      <c r="G167" s="30" t="str">
        <f>VLOOKUP($A167,Questions!$A$2:$X$333,21,0)&amp;""</f>
      </c>
      <c r="H167" s="184"/>
      <c r="I167" s="45" t="str">
        <f>VLOOKUP($A167,Questions!$A$2:$X$333,23,0)&amp;""</f>
      </c>
      <c r="J167" s="184"/>
      <c r="K167" s="48" t="b">
        <v>0</v>
      </c>
      <c r="L167" s="1"/>
    </row>
    <row r="168" spans="1:12" s="29" customFormat="1" ht="85" x14ac:dyDescent="0.15">
      <c r="A168" s="19" t="str">
        <f>Product!$A$60</f>
      </c>
      <c r="B168" s="20">
        <f>VLOOKUP($A168,Product!$A$13:$E$61,2,0)&amp;""</f>
      </c>
      <c r="C168" s="45">
        <f>VLOOKUP($A168,Product!$A$13:$E$61,3,0)&amp;""</f>
      </c>
      <c r="D168" s="34">
        <f>IF(LEFT(VLOOKUP($A168,Product!$A$13:$E$61,5,0),21)='Auto Responses'!$A$32,'Auto Responses'!$A$33,VLOOKUP($A168,Product!$A$13:$E$61,4,0))&amp;""</f>
      </c>
      <c r="E168" s="323">
        <f>VLOOKUP($A168,Product!$A$13:$E$61,5,0)&amp;""</f>
      </c>
      <c r="F168" s="194"/>
      <c r="G168" s="30" t="str">
        <f>VLOOKUP($A168,Questions!$A$2:$X$333,21,0)&amp;""</f>
      </c>
      <c r="H168" s="184"/>
      <c r="I168" s="45" t="str">
        <f>VLOOKUP($A168,Questions!$A$2:$X$333,23,0)&amp;""</f>
      </c>
      <c r="J168" s="184"/>
      <c r="K168" s="48" t="b">
        <v>0</v>
      </c>
      <c r="L168" s="1"/>
    </row>
    <row r="169" spans="1:12" s="29" customFormat="1" ht="85" x14ac:dyDescent="0.15">
      <c r="A169" s="19" t="str">
        <f>Product!$A$61</f>
      </c>
      <c r="B169" s="20">
        <f>VLOOKUP($A169,Product!$A$13:$E$61,2,0)&amp;""</f>
      </c>
      <c r="C169" s="45">
        <f>VLOOKUP($A169,Product!$A$13:$E$61,3,0)&amp;""</f>
      </c>
      <c r="D169" s="34">
        <f>IF(LEFT(VLOOKUP($A169,Product!$A$13:$E$61,5,0),21)='Auto Responses'!$A$32,'Auto Responses'!$A$33,VLOOKUP($A169,Product!$A$13:$E$61,4,0))&amp;""</f>
      </c>
      <c r="E169" s="323">
        <f>VLOOKUP($A169,Product!$A$13:$E$61,5,0)&amp;""</f>
      </c>
      <c r="F169" s="194"/>
      <c r="G169" s="30" t="str">
        <f>VLOOKUP($A169,Questions!$A$2:$X$333,21,0)&amp;""</f>
      </c>
      <c r="H169" s="184"/>
      <c r="I169" s="45" t="str">
        <f>VLOOKUP($A169,Questions!$A$2:$X$333,23,0)&amp;""</f>
      </c>
      <c r="J169" s="184"/>
      <c r="K169" s="48" t="b">
        <v>0</v>
      </c>
      <c r="L169" s="1"/>
    </row>
    <row r="170" spans="1:12" s="1" customFormat="1" ht="18" x14ac:dyDescent="0.15">
      <c r="A170" s="63" t="str">
        <f>VLOOKUP(LEFT($A171,4),'Auto Responses'!$N$4:$O$38,2,0)&amp;""</f>
        <v xml:space="preserve"> Application/Service Security</v>
      </c>
      <c r="B170" s="22"/>
      <c r="C170" s="31"/>
      <c r="D170" s="31"/>
      <c r="E170" s="324"/>
      <c r="F170" s="361" t="s">
        <v>1030</v>
      </c>
      <c r="G170" s="328" t="s">
        <v>869</v>
      </c>
      <c r="H170" s="328" t="s">
        <v>871</v>
      </c>
      <c r="I170" s="328" t="s">
        <v>19</v>
      </c>
      <c r="J170" s="328" t="s">
        <v>856</v>
      </c>
      <c r="K170" s="328" t="s">
        <v>867</v>
      </c>
    </row>
    <row r="171" spans="1:12" s="29" customFormat="1" ht="85" x14ac:dyDescent="0.15">
      <c r="A171" s="19">
        <f>Infrastructure!$A$20</f>
      </c>
      <c r="B171" s="20">
        <f>VLOOKUP($A171,Infrastructure!$A$13:$E$74,2,0)&amp;""</f>
      </c>
      <c r="C171" s="45">
        <f>VLOOKUP($A171,Infrastructure!$A$13:$E$74,3,0)&amp;""</f>
      </c>
      <c r="D171" s="34">
        <f>IF(LEFT(VLOOKUP($A171,Infrastructure!$A$13:$E$74,5,0),21)='Auto Responses'!$A$32,'Auto Responses'!$A$33,VLOOKUP($A171,Infrastructure!$A$13:$E$74,4,0))&amp;""</f>
      </c>
      <c r="E171" s="323">
        <f>VLOOKUP($A171,Infrastructure!$A$13:$E$74,5,0)&amp;""</f>
      </c>
      <c r="F171" s="194"/>
      <c r="G171" s="30" t="str">
        <f>VLOOKUP($A171,Questions!$A$2:$X$333,21,0)&amp;""</f>
      </c>
      <c r="H171" s="184"/>
      <c r="I171" s="45" t="str">
        <f>VLOOKUP($A171,Questions!$A$2:$X$333,23,0)&amp;""</f>
      </c>
      <c r="J171" s="184"/>
      <c r="K171" s="48" t="b">
        <v>0</v>
      </c>
      <c r="L171" s="1"/>
    </row>
    <row r="172" spans="1:12" s="29" customFormat="1" ht="68" x14ac:dyDescent="0.15">
      <c r="A172" s="19" t="str">
        <f>Infrastructure!$A$21</f>
      </c>
      <c r="B172" s="20">
        <f>VLOOKUP($A172,Infrastructure!$A$13:$E$74,2,0)&amp;""</f>
      </c>
      <c r="C172" s="45">
        <f>VLOOKUP($A172,Infrastructure!$A$13:$E$74,3,0)&amp;""</f>
      </c>
      <c r="D172" s="34">
        <f>IF(LEFT(VLOOKUP($A172,Infrastructure!$A$13:$E$74,5,0),21)='Auto Responses'!$A$32,'Auto Responses'!$A$33,VLOOKUP($A172,Infrastructure!$A$13:$E$74,4,0))&amp;""</f>
      </c>
      <c r="E172" s="323">
        <f>VLOOKUP($A172,Infrastructure!$A$13:$E$74,5,0)&amp;""</f>
      </c>
      <c r="F172" s="194"/>
      <c r="G172" s="30" t="str">
        <f>VLOOKUP($A172,Questions!$A$2:$X$333,21,0)&amp;""</f>
      </c>
      <c r="H172" s="184"/>
      <c r="I172" s="45" t="str">
        <f>VLOOKUP($A172,Questions!$A$2:$X$333,23,0)&amp;""</f>
      </c>
      <c r="J172" s="184"/>
      <c r="K172" s="48" t="b">
        <v>0</v>
      </c>
      <c r="L172" s="1"/>
    </row>
    <row r="173" spans="1:12" s="29" customFormat="1" ht="102" x14ac:dyDescent="0.15">
      <c r="A173" s="19" t="str">
        <f>Infrastructure!$A$22</f>
      </c>
      <c r="B173" s="20">
        <f>VLOOKUP($A173,Infrastructure!$A$13:$E$74,2,0)&amp;""</f>
      </c>
      <c r="C173" s="45">
        <f>VLOOKUP($A173,Infrastructure!$A$13:$E$74,3,0)&amp;""</f>
      </c>
      <c r="D173" s="34">
        <f>IF(LEFT(VLOOKUP($A173,Infrastructure!$A$13:$E$74,5,0),21)='Auto Responses'!$A$32,'Auto Responses'!$A$33,VLOOKUP($A173,Infrastructure!$A$13:$E$74,4,0))&amp;""</f>
      </c>
      <c r="E173" s="323">
        <f>VLOOKUP($A173,Infrastructure!$A$13:$E$74,5,0)&amp;""</f>
      </c>
      <c r="F173" s="194"/>
      <c r="G173" s="30" t="str">
        <f>VLOOKUP($A173,Questions!$A$2:$X$333,21,0)&amp;""</f>
      </c>
      <c r="H173" s="184"/>
      <c r="I173" s="45" t="str">
        <f>VLOOKUP($A173,Questions!$A$2:$X$333,23,0)&amp;""</f>
      </c>
      <c r="J173" s="184"/>
      <c r="K173" s="48" t="b">
        <v>0</v>
      </c>
      <c r="L173" s="1"/>
    </row>
    <row r="174" spans="1:12" s="29" customFormat="1" ht="68" x14ac:dyDescent="0.15">
      <c r="A174" s="19" t="str">
        <f>Infrastructure!$A$23</f>
      </c>
      <c r="B174" s="20">
        <f>VLOOKUP($A174,Infrastructure!$A$13:$E$74,2,0)&amp;""</f>
      </c>
      <c r="C174" s="45">
        <f>VLOOKUP($A174,Infrastructure!$A$13:$E$74,3,0)&amp;""</f>
      </c>
      <c r="D174" s="34">
        <f>IF(LEFT(VLOOKUP($A174,Infrastructure!$A$13:$E$74,5,0),21)='Auto Responses'!$A$32,'Auto Responses'!$A$33,VLOOKUP($A174,Infrastructure!$A$13:$E$74,4,0))&amp;""</f>
      </c>
      <c r="E174" s="323">
        <f>VLOOKUP($A174,Infrastructure!$A$13:$E$74,5,0)&amp;""</f>
      </c>
      <c r="F174" s="194"/>
      <c r="G174" s="30" t="str">
        <f>VLOOKUP($A174,Questions!$A$2:$X$333,21,0)&amp;""</f>
      </c>
      <c r="H174" s="184"/>
      <c r="I174" s="45" t="str">
        <f>VLOOKUP($A174,Questions!$A$2:$X$333,23,0)&amp;""</f>
      </c>
      <c r="J174" s="184"/>
      <c r="K174" s="48" t="b">
        <v>0</v>
      </c>
      <c r="L174" s="1"/>
    </row>
    <row r="175" spans="1:12" s="29" customFormat="1" ht="136" x14ac:dyDescent="0.15">
      <c r="A175" s="19" t="str">
        <f>Infrastructure!$A$24</f>
      </c>
      <c r="B175" s="20">
        <f>VLOOKUP($A175,Infrastructure!$A$13:$E$74,2,0)&amp;""</f>
      </c>
      <c r="C175" s="45">
        <f>VLOOKUP($A175,Infrastructure!$A$13:$E$74,3,0)&amp;""</f>
      </c>
      <c r="D175" s="34">
        <f>IF(LEFT(VLOOKUP($A175,Infrastructure!$A$13:$E$74,5,0),21)='Auto Responses'!$A$32,'Auto Responses'!$A$33,VLOOKUP($A175,Infrastructure!$A$13:$E$74,4,0))&amp;""</f>
      </c>
      <c r="E175" s="323">
        <f>VLOOKUP($A175,Infrastructure!$A$13:$E$74,5,0)&amp;""</f>
      </c>
      <c r="F175" s="194"/>
      <c r="G175" s="30" t="str">
        <f>VLOOKUP($A175,Questions!$A$2:$X$333,21,0)&amp;""</f>
      </c>
      <c r="H175" s="184"/>
      <c r="I175" s="45" t="str">
        <f>VLOOKUP($A175,Questions!$A$2:$X$333,23,0)&amp;""</f>
      </c>
      <c r="J175" s="184"/>
      <c r="K175" s="48" t="b">
        <v>0</v>
      </c>
      <c r="L175" s="1"/>
    </row>
    <row r="176" spans="1:12" s="29" customFormat="1" ht="68" x14ac:dyDescent="0.15">
      <c r="A176" s="19" t="str">
        <f>Infrastructure!$A$25</f>
      </c>
      <c r="B176" s="20">
        <f>VLOOKUP($A176,Infrastructure!$A$13:$E$74,2,0)&amp;""</f>
      </c>
      <c r="C176" s="45">
        <f>VLOOKUP($A176,Infrastructure!$A$13:$E$74,3,0)&amp;""</f>
      </c>
      <c r="D176" s="34">
        <f>IF(LEFT(VLOOKUP($A176,Infrastructure!$A$13:$E$74,5,0),21)='Auto Responses'!$A$32,'Auto Responses'!$A$33,VLOOKUP($A176,Infrastructure!$A$13:$E$74,4,0))&amp;""</f>
      </c>
      <c r="E176" s="323">
        <f>VLOOKUP($A176,Infrastructure!$A$13:$E$74,5,0)&amp;""</f>
      </c>
      <c r="F176" s="194"/>
      <c r="G176" s="30" t="str">
        <f>VLOOKUP($A176,Questions!$A$2:$X$333,21,0)&amp;""</f>
      </c>
      <c r="H176" s="184"/>
      <c r="I176" s="45" t="str">
        <f>VLOOKUP($A176,Questions!$A$2:$X$333,23,0)&amp;""</f>
      </c>
      <c r="J176" s="184"/>
      <c r="K176" s="48" t="b">
        <v>0</v>
      </c>
      <c r="L176" s="1"/>
    </row>
    <row r="177" spans="1:12" s="29" customFormat="1" ht="187" x14ac:dyDescent="0.15">
      <c r="A177" s="19" t="str">
        <f>Infrastructure!$A$26</f>
      </c>
      <c r="B177" s="20">
        <f>VLOOKUP($A177,Infrastructure!$A$13:$E$74,2,0)&amp;""</f>
      </c>
      <c r="C177" s="45">
        <f>VLOOKUP($A177,Infrastructure!$A$13:$E$74,3,0)&amp;""</f>
      </c>
      <c r="D177" s="34">
        <f>IF(LEFT(VLOOKUP($A177,Infrastructure!$A$13:$E$74,5,0),21)='Auto Responses'!$A$32,'Auto Responses'!$A$33,VLOOKUP($A177,Infrastructure!$A$13:$E$74,4,0))&amp;""</f>
      </c>
      <c r="E177" s="323">
        <f>VLOOKUP($A177,Infrastructure!$A$13:$E$74,5,0)&amp;""</f>
      </c>
      <c r="F177" s="194"/>
      <c r="G177" s="30" t="str">
        <f>VLOOKUP($A177,Questions!$A$2:$X$333,21,0)&amp;""</f>
      </c>
      <c r="H177" s="184"/>
      <c r="I177" s="45" t="str">
        <f>VLOOKUP($A177,Questions!$A$2:$X$333,23,0)&amp;""</f>
      </c>
      <c r="J177" s="184"/>
      <c r="K177" s="48" t="b">
        <v>0</v>
      </c>
      <c r="L177" s="1"/>
    </row>
    <row r="178" spans="1:12" s="29" customFormat="1" ht="68" x14ac:dyDescent="0.15">
      <c r="A178" s="19" t="str">
        <f>Infrastructure!$A$27</f>
      </c>
      <c r="B178" s="20">
        <f>VLOOKUP($A178,Infrastructure!$A$13:$E$74,2,0)&amp;""</f>
      </c>
      <c r="C178" s="45">
        <f>VLOOKUP($A178,Infrastructure!$A$13:$E$74,3,0)&amp;""</f>
      </c>
      <c r="D178" s="34">
        <f>IF(LEFT(VLOOKUP($A178,Infrastructure!$A$13:$E$74,5,0),21)='Auto Responses'!$A$32,'Auto Responses'!$A$33,VLOOKUP($A178,Infrastructure!$A$13:$E$74,4,0))&amp;""</f>
      </c>
      <c r="E178" s="323">
        <f>VLOOKUP($A178,Infrastructure!$A$13:$E$74,5,0)&amp;""</f>
      </c>
      <c r="F178" s="194"/>
      <c r="G178" s="30" t="str">
        <f>VLOOKUP($A178,Questions!$A$2:$X$333,21,0)&amp;""</f>
      </c>
      <c r="H178" s="184"/>
      <c r="I178" s="45" t="str">
        <f>VLOOKUP($A178,Questions!$A$2:$X$333,23,0)&amp;""</f>
      </c>
      <c r="J178" s="184"/>
      <c r="K178" s="48" t="b">
        <v>0</v>
      </c>
      <c r="L178" s="1"/>
    </row>
    <row r="179" spans="1:12" s="29" customFormat="1" ht="68" x14ac:dyDescent="0.15">
      <c r="A179" s="19" t="str">
        <f>Infrastructure!$A$28</f>
      </c>
      <c r="B179" s="20">
        <f>VLOOKUP($A179,Infrastructure!$A$13:$E$74,2,0)&amp;""</f>
      </c>
      <c r="C179" s="45">
        <f>VLOOKUP($A179,Infrastructure!$A$13:$E$74,3,0)&amp;""</f>
      </c>
      <c r="D179" s="34">
        <f>IF(LEFT(VLOOKUP($A179,Infrastructure!$A$13:$E$74,5,0),21)='Auto Responses'!$A$32,'Auto Responses'!$A$33,VLOOKUP($A179,Infrastructure!$A$13:$E$74,4,0))&amp;""</f>
      </c>
      <c r="E179" s="323">
        <f>VLOOKUP($A179,Infrastructure!$A$13:$E$74,5,0)&amp;""</f>
      </c>
      <c r="F179" s="194"/>
      <c r="G179" s="30" t="str">
        <f>VLOOKUP($A179,Questions!$A$2:$X$333,21,0)&amp;""</f>
      </c>
      <c r="H179" s="184"/>
      <c r="I179" s="45" t="str">
        <f>VLOOKUP($A179,Questions!$A$2:$X$333,23,0)&amp;""</f>
      </c>
      <c r="J179" s="184"/>
      <c r="K179" s="48" t="b">
        <v>0</v>
      </c>
      <c r="L179" s="1"/>
    </row>
    <row r="180" spans="1:12" s="29" customFormat="1" ht="68" x14ac:dyDescent="0.15">
      <c r="A180" s="19" t="str">
        <f>Infrastructure!$A$29</f>
      </c>
      <c r="B180" s="20">
        <f>VLOOKUP($A180,Infrastructure!$A$13:$E$74,2,0)&amp;""</f>
      </c>
      <c r="C180" s="45">
        <f>VLOOKUP($A180,Infrastructure!$A$13:$E$74,3,0)&amp;""</f>
      </c>
      <c r="D180" s="34">
        <f>IF(LEFT(VLOOKUP($A180,Infrastructure!$A$13:$E$74,5,0),21)='Auto Responses'!$A$32,'Auto Responses'!$A$33,VLOOKUP($A180,Infrastructure!$A$13:$E$74,4,0))&amp;""</f>
      </c>
      <c r="E180" s="323">
        <f>VLOOKUP($A180,Infrastructure!$A$13:$E$74,5,0)&amp;""</f>
      </c>
      <c r="F180" s="194"/>
      <c r="G180" s="30" t="str">
        <f>VLOOKUP($A180,Questions!$A$2:$X$333,21,0)&amp;""</f>
      </c>
      <c r="H180" s="184"/>
      <c r="I180" s="45" t="str">
        <f>VLOOKUP($A180,Questions!$A$2:$X$333,23,0)&amp;""</f>
      </c>
      <c r="J180" s="184"/>
      <c r="K180" s="48" t="b">
        <v>0</v>
      </c>
      <c r="L180" s="1"/>
    </row>
    <row r="181" spans="1:12" s="29" customFormat="1" ht="85" x14ac:dyDescent="0.15">
      <c r="A181" s="19" t="str">
        <f>Infrastructure!$A$30</f>
      </c>
      <c r="B181" s="20">
        <f>VLOOKUP($A181,Infrastructure!$A$13:$E$74,2,0)&amp;""</f>
      </c>
      <c r="C181" s="45">
        <f>VLOOKUP($A181,Infrastructure!$A$13:$E$74,3,0)&amp;""</f>
      </c>
      <c r="D181" s="34">
        <f>IF(LEFT(VLOOKUP($A181,Infrastructure!$A$13:$E$74,5,0),21)='Auto Responses'!$A$32,'Auto Responses'!$A$33,VLOOKUP($A181,Infrastructure!$A$13:$E$74,4,0))&amp;""</f>
      </c>
      <c r="E181" s="323">
        <f>VLOOKUP($A181,Infrastructure!$A$13:$E$74,5,0)&amp;""</f>
      </c>
      <c r="F181" s="194"/>
      <c r="G181" s="30" t="str">
        <f>VLOOKUP($A181,Questions!$A$2:$X$333,21,0)&amp;""</f>
      </c>
      <c r="H181" s="184"/>
      <c r="I181" s="45" t="str">
        <f>VLOOKUP($A181,Questions!$A$2:$X$333,23,0)&amp;""</f>
      </c>
      <c r="J181" s="184"/>
      <c r="K181" s="48" t="b">
        <v>0</v>
      </c>
      <c r="L181" s="1"/>
    </row>
    <row r="182" spans="1:12" s="29" customFormat="1" ht="119" x14ac:dyDescent="0.15">
      <c r="A182" s="19" t="str">
        <f>Infrastructure!$A$31</f>
      </c>
      <c r="B182" s="20">
        <f>VLOOKUP($A182,Infrastructure!$A$13:$E$74,2,0)&amp;""</f>
      </c>
      <c r="C182" s="45">
        <f>VLOOKUP($A182,Infrastructure!$A$13:$E$74,3,0)&amp;""</f>
      </c>
      <c r="D182" s="34">
        <f>IF(LEFT(VLOOKUP($A182,Infrastructure!$A$13:$E$74,5,0),21)='Auto Responses'!$A$32,'Auto Responses'!$A$33,VLOOKUP($A182,Infrastructure!$A$13:$E$74,4,0))&amp;""</f>
      </c>
      <c r="E182" s="323">
        <f>VLOOKUP($A182,Infrastructure!$A$13:$E$74,5,0)&amp;""</f>
      </c>
      <c r="F182" s="194"/>
      <c r="G182" s="30" t="str">
        <f>VLOOKUP($A182,Questions!$A$2:$X$333,21,0)&amp;""</f>
      </c>
      <c r="H182" s="184"/>
      <c r="I182" s="45" t="str">
        <f>VLOOKUP($A182,Questions!$A$2:$X$333,23,0)&amp;""</f>
      </c>
      <c r="J182" s="184"/>
      <c r="K182" s="48" t="b">
        <v>0</v>
      </c>
      <c r="L182" s="1"/>
    </row>
    <row r="183" spans="1:12" s="29" customFormat="1" ht="51" x14ac:dyDescent="0.15">
      <c r="A183" s="19" t="str">
        <f>Infrastructure!$A$32</f>
      </c>
      <c r="B183" s="20">
        <f>VLOOKUP($A183,Infrastructure!$A$13:$E$74,2,0)&amp;""</f>
      </c>
      <c r="C183" s="45">
        <f>VLOOKUP($A183,Infrastructure!$A$13:$E$74,3,0)&amp;""</f>
      </c>
      <c r="D183" s="34">
        <f>IF(LEFT(VLOOKUP($A183,Infrastructure!$A$13:$E$74,5,0),21)='Auto Responses'!$A$32,'Auto Responses'!$A$33,VLOOKUP($A183,Infrastructure!$A$13:$E$74,4,0))&amp;""</f>
      </c>
      <c r="E183" s="323">
        <f>VLOOKUP($A183,Infrastructure!$A$13:$E$74,5,0)&amp;""</f>
      </c>
      <c r="F183" s="194"/>
      <c r="G183" s="30" t="str">
        <f>VLOOKUP($A183,Questions!$A$2:$X$333,21,0)&amp;""</f>
      </c>
      <c r="H183" s="184"/>
      <c r="I183" s="45" t="str">
        <f>VLOOKUP($A183,Questions!$A$2:$X$333,23,0)&amp;""</f>
      </c>
      <c r="J183" s="184"/>
      <c r="K183" s="48" t="b">
        <v>0</v>
      </c>
      <c r="L183" s="1"/>
    </row>
    <row r="184" spans="1:12" s="29" customFormat="1" ht="102" x14ac:dyDescent="0.15">
      <c r="A184" s="19" t="str">
        <f>Infrastructure!$A$33</f>
      </c>
      <c r="B184" s="20">
        <f>VLOOKUP($A184,Infrastructure!$A$13:$E$74,2,0)&amp;""</f>
      </c>
      <c r="C184" s="45">
        <f>VLOOKUP($A184,Infrastructure!$A$13:$E$74,3,0)&amp;""</f>
      </c>
      <c r="D184" s="34">
        <f>IF(LEFT(VLOOKUP($A184,Infrastructure!$A$13:$E$74,5,0),21)='Auto Responses'!$A$32,'Auto Responses'!$A$33,VLOOKUP($A184,Infrastructure!$A$13:$E$74,4,0))&amp;""</f>
      </c>
      <c r="E184" s="323">
        <f>VLOOKUP($A184,Infrastructure!$A$13:$E$74,5,0)&amp;""</f>
      </c>
      <c r="F184" s="194"/>
      <c r="G184" s="30" t="str">
        <f>VLOOKUP($A184,Questions!$A$2:$X$333,21,0)&amp;""</f>
      </c>
      <c r="H184" s="184"/>
      <c r="I184" s="45" t="str">
        <f>VLOOKUP($A184,Questions!$A$2:$X$333,23,0)&amp;""</f>
      </c>
      <c r="J184" s="184"/>
      <c r="K184" s="48" t="b">
        <v>0</v>
      </c>
      <c r="L184" s="1"/>
    </row>
    <row r="185" spans="1:12" s="1" customFormat="1" ht="18" x14ac:dyDescent="0.15">
      <c r="A185" s="63" t="str">
        <f>VLOOKUP(LEFT($A186,4),'Auto Responses'!$N$4:$O$38,2,0)&amp;""</f>
        <v xml:space="preserve"> Datacenter</v>
      </c>
      <c r="B185" s="22"/>
      <c r="C185" s="31"/>
      <c r="D185" s="31"/>
      <c r="E185" s="324"/>
      <c r="F185" s="361" t="s">
        <v>1030</v>
      </c>
      <c r="G185" s="328" t="s">
        <v>869</v>
      </c>
      <c r="H185" s="328" t="s">
        <v>871</v>
      </c>
      <c r="I185" s="328" t="s">
        <v>19</v>
      </c>
      <c r="J185" s="328" t="s">
        <v>856</v>
      </c>
      <c r="K185" s="328" t="s">
        <v>867</v>
      </c>
    </row>
    <row r="186" spans="1:12" s="29" customFormat="1" ht="34" x14ac:dyDescent="0.15">
      <c r="A186" s="19">
        <f>Infrastructure!$A$35</f>
      </c>
      <c r="B186" s="20">
        <f>VLOOKUP($A186,Infrastructure!$A$13:$E$74,2,0)&amp;""</f>
      </c>
      <c r="C186" s="45">
        <f>VLOOKUP($A186,Infrastructure!$A$13:$E$74,3,0)&amp;""</f>
      </c>
      <c r="D186" s="34">
        <f>IF(LEFT(VLOOKUP($A186,Infrastructure!$A$13:$E$74,5,0),21)='Auto Responses'!$A$32,'Auto Responses'!$A$33,VLOOKUP($A186,Infrastructure!$A$13:$E$74,4,0))&amp;""</f>
      </c>
      <c r="E186" s="323">
        <f>VLOOKUP($A186,Infrastructure!$A$13:$E$74,5,0)&amp;""</f>
      </c>
      <c r="F186" s="194"/>
      <c r="G186" s="30" t="str">
        <f>VLOOKUP($A186,Questions!$A$2:$X$333,21,0)&amp;""</f>
      </c>
      <c r="H186" s="184"/>
      <c r="I186" s="45" t="str">
        <f>VLOOKUP($A186,Questions!$A$2:$X$333,23,0)&amp;""</f>
      </c>
      <c r="J186" s="184"/>
      <c r="K186" s="48" t="b">
        <v>0</v>
      </c>
      <c r="L186" s="1"/>
    </row>
    <row r="187" spans="1:12" s="29" customFormat="1" ht="85" x14ac:dyDescent="0.15">
      <c r="A187" s="19" t="str">
        <f>Infrastructure!$A$36</f>
      </c>
      <c r="B187" s="20">
        <f>VLOOKUP($A187,Infrastructure!$A$13:$E$74,2,0)&amp;""</f>
      </c>
      <c r="C187" s="45">
        <f>VLOOKUP($A187,Infrastructure!$A$13:$E$74,3,0)&amp;""</f>
      </c>
      <c r="D187" s="34">
        <f>IF(LEFT(VLOOKUP($A187,Infrastructure!$A$13:$E$74,5,0),21)='Auto Responses'!$A$32,'Auto Responses'!$A$33,VLOOKUP($A187,Infrastructure!$A$13:$E$74,4,0))&amp;""</f>
      </c>
      <c r="E187" s="323">
        <f>VLOOKUP($A187,Infrastructure!$A$13:$E$74,5,0)&amp;""</f>
      </c>
      <c r="F187" s="194"/>
      <c r="G187" s="30" t="str">
        <f>VLOOKUP($A187,Questions!$A$2:$X$333,21,0)&amp;""</f>
      </c>
      <c r="H187" s="184"/>
      <c r="I187" s="45" t="str">
        <f>VLOOKUP($A187,Questions!$A$2:$X$333,23,0)&amp;""</f>
      </c>
      <c r="J187" s="184"/>
      <c r="K187" s="48" t="b">
        <v>0</v>
      </c>
      <c r="L187" s="1"/>
    </row>
    <row r="188" spans="1:12" s="29" customFormat="1" ht="85" x14ac:dyDescent="0.15">
      <c r="A188" s="19" t="str">
        <f>Infrastructure!$A$37</f>
      </c>
      <c r="B188" s="20">
        <f>VLOOKUP($A188,Infrastructure!$A$13:$E$74,2,0)&amp;""</f>
      </c>
      <c r="C188" s="45">
        <f>VLOOKUP($A188,Infrastructure!$A$13:$E$74,3,0)&amp;""</f>
      </c>
      <c r="D188" s="34">
        <f>IF(LEFT(VLOOKUP($A188,Infrastructure!$A$13:$E$74,5,0),21)='Auto Responses'!$A$32,'Auto Responses'!$A$33,VLOOKUP($A188,Infrastructure!$A$13:$E$74,4,0))&amp;""</f>
      </c>
      <c r="E188" s="323">
        <f>VLOOKUP($A188,Infrastructure!$A$13:$E$74,5,0)&amp;""</f>
      </c>
      <c r="F188" s="194"/>
      <c r="G188" s="30" t="str">
        <f>VLOOKUP($A188,Questions!$A$2:$X$333,21,0)&amp;""</f>
      </c>
      <c r="H188" s="184"/>
      <c r="I188" s="45" t="str">
        <f>VLOOKUP($A188,Questions!$A$2:$X$333,23,0)&amp;""</f>
      </c>
      <c r="J188" s="184"/>
      <c r="K188" s="48" t="b">
        <v>0</v>
      </c>
      <c r="L188" s="1"/>
    </row>
    <row r="189" spans="1:12" s="29" customFormat="1" ht="85" x14ac:dyDescent="0.15">
      <c r="A189" s="19" t="str">
        <f>Infrastructure!$A$38</f>
      </c>
      <c r="B189" s="20">
        <f>VLOOKUP($A189,Infrastructure!$A$13:$E$74,2,0)&amp;""</f>
      </c>
      <c r="C189" s="45">
        <f>VLOOKUP($A189,Infrastructure!$A$13:$E$74,3,0)&amp;""</f>
      </c>
      <c r="D189" s="34">
        <f>IF(LEFT(VLOOKUP($A189,Infrastructure!$A$13:$E$74,5,0),21)='Auto Responses'!$A$32,'Auto Responses'!$A$33,VLOOKUP($A189,Infrastructure!$A$13:$E$74,4,0))&amp;""</f>
      </c>
      <c r="E189" s="323">
        <f>VLOOKUP($A189,Infrastructure!$A$13:$E$74,5,0)&amp;""</f>
      </c>
      <c r="F189" s="194"/>
      <c r="G189" s="30" t="str">
        <f>VLOOKUP($A189,Questions!$A$2:$X$333,21,0)&amp;""</f>
      </c>
      <c r="H189" s="184"/>
      <c r="I189" s="45" t="str">
        <f>VLOOKUP($A189,Questions!$A$2:$X$333,23,0)&amp;""</f>
      </c>
      <c r="J189" s="184"/>
      <c r="K189" s="48" t="b">
        <v>0</v>
      </c>
      <c r="L189" s="1"/>
    </row>
    <row r="190" spans="1:12" s="29" customFormat="1" ht="85" x14ac:dyDescent="0.15">
      <c r="A190" s="19" t="str">
        <f>Infrastructure!$A$39</f>
      </c>
      <c r="B190" s="20">
        <f>VLOOKUP($A190,Infrastructure!$A$13:$E$74,2,0)&amp;""</f>
      </c>
      <c r="C190" s="45">
        <f>VLOOKUP($A190,Infrastructure!$A$13:$E$74,3,0)&amp;""</f>
      </c>
      <c r="D190" s="34">
        <f>IF(LEFT(VLOOKUP($A190,Infrastructure!$A$13:$E$74,5,0),21)='Auto Responses'!$A$32,'Auto Responses'!$A$33,VLOOKUP($A190,Infrastructure!$A$13:$E$74,4,0))&amp;""</f>
      </c>
      <c r="E190" s="323">
        <f>VLOOKUP($A190,Infrastructure!$A$13:$E$74,5,0)&amp;""</f>
      </c>
      <c r="F190" s="194"/>
      <c r="G190" s="30" t="str">
        <f>VLOOKUP($A190,Questions!$A$2:$X$333,21,0)&amp;""</f>
      </c>
      <c r="H190" s="184"/>
      <c r="I190" s="45" t="str">
        <f>VLOOKUP($A190,Questions!$A$2:$X$333,23,0)&amp;""</f>
      </c>
      <c r="J190" s="184"/>
      <c r="K190" s="48" t="b">
        <v>0</v>
      </c>
      <c r="L190" s="1"/>
    </row>
    <row r="191" spans="1:12" s="29" customFormat="1" ht="85" x14ac:dyDescent="0.15">
      <c r="A191" s="19" t="str">
        <f>Infrastructure!$A$40</f>
      </c>
      <c r="B191" s="20">
        <f>VLOOKUP($A191,Infrastructure!$A$13:$E$74,2,0)&amp;""</f>
      </c>
      <c r="C191" s="45">
        <f>VLOOKUP($A191,Infrastructure!$A$13:$E$74,3,0)&amp;""</f>
      </c>
      <c r="D191" s="34">
        <f>IF(LEFT(VLOOKUP($A191,Infrastructure!$A$13:$E$74,5,0),21)='Auto Responses'!$A$32,'Auto Responses'!$A$33,VLOOKUP($A191,Infrastructure!$A$13:$E$74,4,0))&amp;""</f>
      </c>
      <c r="E191" s="323">
        <f>VLOOKUP($A191,Infrastructure!$A$13:$E$74,5,0)&amp;""</f>
      </c>
      <c r="F191" s="194"/>
      <c r="G191" s="30" t="str">
        <f>VLOOKUP($A191,Questions!$A$2:$X$333,21,0)&amp;""</f>
      </c>
      <c r="H191" s="184" t="s">
        <v>854</v>
      </c>
      <c r="I191" s="45">
        <f>VLOOKUP($A191,Questions!$A$2:$X$333,23,0)&amp;""</f>
      </c>
      <c r="J191" s="184"/>
      <c r="K191" s="48" t="b">
        <v>0</v>
      </c>
      <c r="L191" s="1"/>
    </row>
    <row r="192" spans="1:12" s="29" customFormat="1" ht="51" x14ac:dyDescent="0.15">
      <c r="A192" s="19" t="str">
        <f>Infrastructure!$A$41</f>
      </c>
      <c r="B192" s="20">
        <f>VLOOKUP($A192,Infrastructure!$A$13:$E$74,2,0)&amp;""</f>
      </c>
      <c r="C192" s="45">
        <f>VLOOKUP($A192,Infrastructure!$A$13:$E$74,3,0)&amp;""</f>
      </c>
      <c r="D192" s="34">
        <f>IF(LEFT(VLOOKUP($A192,Infrastructure!$A$13:$E$74,5,0),21)='Auto Responses'!$A$32,'Auto Responses'!$A$33,VLOOKUP($A192,Infrastructure!$A$13:$E$74,4,0))&amp;""</f>
      </c>
      <c r="E192" s="323">
        <f>VLOOKUP($A192,Infrastructure!$A$13:$E$74,5,0)&amp;""</f>
      </c>
      <c r="F192" s="194"/>
      <c r="G192" s="30" t="str">
        <f>VLOOKUP($A192,Questions!$A$2:$X$333,21,0)&amp;""</f>
      </c>
      <c r="H192" s="184"/>
      <c r="I192" s="45" t="str">
        <f>VLOOKUP($A192,Questions!$A$2:$X$333,23,0)&amp;""</f>
      </c>
      <c r="J192" s="184"/>
      <c r="K192" s="48" t="b">
        <v>0</v>
      </c>
      <c r="L192" s="1"/>
    </row>
    <row r="193" spans="1:12" s="29" customFormat="1" ht="68" x14ac:dyDescent="0.15">
      <c r="A193" s="19" t="str">
        <f>Infrastructure!$A$42</f>
      </c>
      <c r="B193" s="20">
        <f>VLOOKUP($A193,Infrastructure!$A$13:$E$74,2,0)&amp;""</f>
      </c>
      <c r="C193" s="45">
        <f>VLOOKUP($A193,Infrastructure!$A$13:$E$74,3,0)&amp;""</f>
      </c>
      <c r="D193" s="34">
        <f>IF(LEFT(VLOOKUP($A193,Infrastructure!$A$13:$E$74,5,0),21)='Auto Responses'!$A$32,'Auto Responses'!$A$33,VLOOKUP($A193,Infrastructure!$A$13:$E$74,4,0))&amp;""</f>
      </c>
      <c r="E193" s="323">
        <f>VLOOKUP($A193,Infrastructure!$A$13:$E$74,5,0)&amp;""</f>
      </c>
      <c r="F193" s="194"/>
      <c r="G193" s="30" t="str">
        <f>VLOOKUP($A193,Questions!$A$2:$X$333,21,0)&amp;""</f>
      </c>
      <c r="H193" s="184"/>
      <c r="I193" s="45" t="str">
        <f>VLOOKUP($A193,Questions!$A$2:$X$333,23,0)&amp;""</f>
      </c>
      <c r="J193" s="184"/>
      <c r="K193" s="48" t="b">
        <v>0</v>
      </c>
      <c r="L193" s="1"/>
    </row>
    <row r="194" spans="1:12" s="29" customFormat="1" ht="85" x14ac:dyDescent="0.15">
      <c r="A194" s="19" t="str">
        <f>Infrastructure!$A$43</f>
      </c>
      <c r="B194" s="20">
        <f>VLOOKUP($A194,Infrastructure!$A$13:$E$74,2,0)&amp;""</f>
      </c>
      <c r="C194" s="45">
        <f>VLOOKUP($A194,Infrastructure!$A$13:$E$74,3,0)&amp;""</f>
      </c>
      <c r="D194" s="34">
        <f>IF(LEFT(VLOOKUP($A194,Infrastructure!$A$13:$E$74,5,0),21)='Auto Responses'!$A$32,'Auto Responses'!$A$33,VLOOKUP($A194,Infrastructure!$A$13:$E$74,4,0))&amp;""</f>
      </c>
      <c r="E194" s="323">
        <f>VLOOKUP($A194,Infrastructure!$A$13:$E$74,5,0)&amp;""</f>
      </c>
      <c r="F194" s="194"/>
      <c r="G194" s="30" t="str">
        <f>VLOOKUP($A194,Questions!$A$2:$X$333,21,0)&amp;""</f>
      </c>
      <c r="H194" s="184"/>
      <c r="I194" s="45" t="str">
        <f>VLOOKUP($A194,Questions!$A$2:$X$333,23,0)&amp;""</f>
      </c>
      <c r="J194" s="184"/>
      <c r="K194" s="48" t="b">
        <v>0</v>
      </c>
      <c r="L194" s="1"/>
    </row>
    <row r="195" spans="1:12" s="29" customFormat="1" ht="85" x14ac:dyDescent="0.15">
      <c r="A195" s="19" t="str">
        <f>Infrastructure!$A$44</f>
      </c>
      <c r="B195" s="20">
        <f>VLOOKUP($A195,Infrastructure!$A$13:$E$74,2,0)&amp;""</f>
      </c>
      <c r="C195" s="45">
        <f>VLOOKUP($A195,Infrastructure!$A$13:$E$74,3,0)&amp;""</f>
      </c>
      <c r="D195" s="34">
        <f>IF(LEFT(VLOOKUP($A195,Infrastructure!$A$13:$E$74,5,0),21)='Auto Responses'!$A$32,'Auto Responses'!$A$33,VLOOKUP($A195,Infrastructure!$A$13:$E$74,4,0))&amp;""</f>
      </c>
      <c r="E195" s="323">
        <f>VLOOKUP($A195,Infrastructure!$A$13:$E$74,5,0)&amp;""</f>
      </c>
      <c r="F195" s="194"/>
      <c r="G195" s="30" t="str">
        <f>VLOOKUP($A195,Questions!$A$2:$X$333,21,0)&amp;""</f>
      </c>
      <c r="H195" s="184"/>
      <c r="I195" s="45" t="str">
        <f>VLOOKUP($A195,Questions!$A$2:$X$333,23,0)&amp;""</f>
      </c>
      <c r="J195" s="184"/>
      <c r="K195" s="48" t="b">
        <v>0</v>
      </c>
      <c r="L195" s="1"/>
    </row>
    <row r="196" spans="1:12" s="29" customFormat="1" ht="85" x14ac:dyDescent="0.15">
      <c r="A196" s="19" t="str">
        <f>Infrastructure!$A$45</f>
      </c>
      <c r="B196" s="20">
        <f>VLOOKUP($A196,Infrastructure!$A$13:$E$74,2,0)&amp;""</f>
      </c>
      <c r="C196" s="45">
        <f>VLOOKUP($A196,Infrastructure!$A$13:$E$74,3,0)&amp;""</f>
      </c>
      <c r="D196" s="34">
        <f>IF(LEFT(VLOOKUP($A196,Infrastructure!$A$13:$E$74,5,0),21)='Auto Responses'!$A$32,'Auto Responses'!$A$33,VLOOKUP($A196,Infrastructure!$A$13:$E$74,4,0))&amp;""</f>
      </c>
      <c r="E196" s="323">
        <f>VLOOKUP($A196,Infrastructure!$A$13:$E$74,5,0)&amp;""</f>
      </c>
      <c r="F196" s="194"/>
      <c r="G196" s="30" t="str">
        <f>VLOOKUP($A196,Questions!$A$2:$X$333,21,0)&amp;""</f>
      </c>
      <c r="H196" s="184"/>
      <c r="I196" s="45" t="str">
        <f>VLOOKUP($A196,Questions!$A$2:$X$333,23,0)&amp;""</f>
      </c>
      <c r="J196" s="184"/>
      <c r="K196" s="48" t="b">
        <v>0</v>
      </c>
      <c r="L196" s="1"/>
    </row>
    <row r="197" spans="1:12" s="29" customFormat="1" ht="85" x14ac:dyDescent="0.15">
      <c r="A197" s="19" t="str">
        <f>Infrastructure!$A$46</f>
      </c>
      <c r="B197" s="20">
        <f>VLOOKUP($A197,Infrastructure!$A$13:$E$74,2,0)&amp;""</f>
      </c>
      <c r="C197" s="45">
        <f>VLOOKUP($A197,Infrastructure!$A$13:$E$74,3,0)&amp;""</f>
      </c>
      <c r="D197" s="34">
        <f>IF(LEFT(VLOOKUP($A197,Infrastructure!$A$13:$E$74,5,0),21)='Auto Responses'!$A$32,'Auto Responses'!$A$33,VLOOKUP($A197,Infrastructure!$A$13:$E$74,4,0))&amp;""</f>
      </c>
      <c r="E197" s="323">
        <f>VLOOKUP($A197,Infrastructure!$A$13:$E$74,5,0)&amp;""</f>
      </c>
      <c r="F197" s="194"/>
      <c r="G197" s="30" t="str">
        <f>VLOOKUP($A197,Questions!$A$2:$X$333,21,0)&amp;""</f>
      </c>
      <c r="H197" s="184"/>
      <c r="I197" s="45" t="str">
        <f>VLOOKUP($A197,Questions!$A$2:$X$333,23,0)&amp;""</f>
      </c>
      <c r="J197" s="184"/>
      <c r="K197" s="48" t="b">
        <v>0</v>
      </c>
      <c r="L197" s="1"/>
    </row>
    <row r="198" spans="1:12" s="29" customFormat="1" ht="85" x14ac:dyDescent="0.15">
      <c r="A198" s="19" t="str">
        <f>Infrastructure!$A$47</f>
      </c>
      <c r="B198" s="20">
        <f>VLOOKUP($A198,Infrastructure!$A$13:$E$74,2,0)&amp;""</f>
      </c>
      <c r="C198" s="45">
        <f>VLOOKUP($A198,Infrastructure!$A$13:$E$74,3,0)&amp;""</f>
      </c>
      <c r="D198" s="34">
        <f>IF(LEFT(VLOOKUP($A198,Infrastructure!$A$13:$E$74,5,0),21)='Auto Responses'!$A$32,'Auto Responses'!$A$33,VLOOKUP($A198,Infrastructure!$A$13:$E$74,4,0))&amp;""</f>
      </c>
      <c r="E198" s="323">
        <f>VLOOKUP($A198,Infrastructure!$A$13:$E$74,5,0)&amp;""</f>
      </c>
      <c r="F198" s="194"/>
      <c r="G198" s="30" t="str">
        <f>VLOOKUP($A198,Questions!$A$2:$X$333,21,0)&amp;""</f>
      </c>
      <c r="H198" s="184"/>
      <c r="I198" s="45" t="str">
        <f>VLOOKUP($A198,Questions!$A$2:$X$333,23,0)&amp;""</f>
      </c>
      <c r="J198" s="184"/>
      <c r="K198" s="48" t="b">
        <v>0</v>
      </c>
      <c r="L198" s="1"/>
    </row>
    <row r="199" spans="1:12" s="29" customFormat="1" ht="136" x14ac:dyDescent="0.15">
      <c r="A199" s="19" t="str">
        <f>Infrastructure!$A$48</f>
      </c>
      <c r="B199" s="20">
        <f>VLOOKUP($A199,Infrastructure!$A$13:$E$74,2,0)&amp;""</f>
      </c>
      <c r="C199" s="45">
        <f>VLOOKUP($A199,Infrastructure!$A$13:$E$74,3,0)&amp;""</f>
      </c>
      <c r="D199" s="34">
        <f>IF(LEFT(VLOOKUP($A199,Infrastructure!$A$13:$E$74,5,0),21)='Auto Responses'!$A$32,'Auto Responses'!$A$33,VLOOKUP($A199,Infrastructure!$A$13:$E$74,4,0))&amp;""</f>
      </c>
      <c r="E199" s="323">
        <f>VLOOKUP($A199,Infrastructure!$A$13:$E$74,5,0)&amp;""</f>
      </c>
      <c r="F199" s="194"/>
      <c r="G199" s="30" t="str">
        <f>VLOOKUP($A199,Questions!$A$2:$X$333,21,0)&amp;""</f>
      </c>
      <c r="H199" s="184"/>
      <c r="I199" s="45" t="str">
        <f>VLOOKUP($A199,Questions!$A$2:$X$333,23,0)&amp;""</f>
      </c>
      <c r="J199" s="184"/>
      <c r="K199" s="48" t="b">
        <v>0</v>
      </c>
      <c r="L199" s="1"/>
    </row>
    <row r="200" spans="1:12" s="29" customFormat="1" ht="51" x14ac:dyDescent="0.15">
      <c r="A200" s="19" t="str">
        <f>Infrastructure!$A$49</f>
      </c>
      <c r="B200" s="20">
        <f>VLOOKUP($A200,Infrastructure!$A$13:$E$74,2,0)&amp;""</f>
      </c>
      <c r="C200" s="45">
        <f>VLOOKUP($A200,Infrastructure!$A$13:$E$74,3,0)&amp;""</f>
      </c>
      <c r="D200" s="34">
        <f>IF(LEFT(VLOOKUP($A200,Infrastructure!$A$13:$E$74,5,0),21)='Auto Responses'!$A$32,'Auto Responses'!$A$33,VLOOKUP($A200,Infrastructure!$A$13:$E$74,4,0))&amp;""</f>
      </c>
      <c r="E200" s="323">
        <f>VLOOKUP($A200,Infrastructure!$A$13:$E$74,5,0)&amp;""</f>
      </c>
      <c r="F200" s="194"/>
      <c r="G200" s="30" t="str">
        <f>VLOOKUP($A200,Questions!$A$2:$X$333,21,0)&amp;""</f>
      </c>
      <c r="H200" s="184"/>
      <c r="I200" s="45" t="str">
        <f>VLOOKUP($A200,Questions!$A$2:$X$333,23,0)&amp;""</f>
      </c>
      <c r="J200" s="184"/>
      <c r="K200" s="48" t="b">
        <v>0</v>
      </c>
      <c r="L200" s="1"/>
    </row>
    <row r="201" spans="1:12" s="29" customFormat="1" ht="51" x14ac:dyDescent="0.15">
      <c r="A201" s="19" t="str">
        <f>Infrastructure!$A$50</f>
      </c>
      <c r="B201" s="20">
        <f>VLOOKUP($A201,Infrastructure!$A$13:$E$74,2,0)&amp;""</f>
      </c>
      <c r="C201" s="45">
        <f>VLOOKUP($A201,Infrastructure!$A$13:$E$74,3,0)&amp;""</f>
      </c>
      <c r="D201" s="34">
        <f>IF(LEFT(VLOOKUP($A201,Infrastructure!$A$13:$E$74,5,0),21)='Auto Responses'!$A$32,'Auto Responses'!$A$33,VLOOKUP($A201,Infrastructure!$A$13:$E$74,4,0))&amp;""</f>
      </c>
      <c r="E201" s="323">
        <f>VLOOKUP($A201,Infrastructure!$A$13:$E$74,5,0)&amp;""</f>
      </c>
      <c r="F201" s="194"/>
      <c r="G201" s="30" t="str">
        <f>VLOOKUP($A201,Questions!$A$2:$X$333,21,0)&amp;""</f>
      </c>
      <c r="H201" s="184"/>
      <c r="I201" s="45" t="str">
        <f>VLOOKUP($A201,Questions!$A$2:$X$333,23,0)&amp;""</f>
      </c>
      <c r="J201" s="184"/>
      <c r="K201" s="48" t="b">
        <v>0</v>
      </c>
      <c r="L201" s="1"/>
    </row>
    <row r="202" spans="1:12" s="1" customFormat="1" ht="18" x14ac:dyDescent="0.15">
      <c r="A202" s="63" t="str">
        <f>VLOOKUP(LEFT($A203,4),'Auto Responses'!$N$4:$O$38,2,0)&amp;""</f>
        <v xml:space="preserve"> Firewalls, IDS, IPS, and Networking</v>
      </c>
      <c r="B202" s="22"/>
      <c r="C202" s="31"/>
      <c r="D202" s="31"/>
      <c r="E202" s="324"/>
      <c r="F202" s="361" t="s">
        <v>1030</v>
      </c>
      <c r="G202" s="328" t="s">
        <v>869</v>
      </c>
      <c r="H202" s="328" t="s">
        <v>871</v>
      </c>
      <c r="I202" s="328" t="s">
        <v>19</v>
      </c>
      <c r="J202" s="328" t="s">
        <v>856</v>
      </c>
      <c r="K202" s="328" t="s">
        <v>867</v>
      </c>
    </row>
    <row r="203" spans="1:12" s="29" customFormat="1" ht="51" x14ac:dyDescent="0.15">
      <c r="A203" s="19">
        <f>Infrastructure!$A$52</f>
      </c>
      <c r="B203" s="20">
        <f>VLOOKUP($A203,Infrastructure!$A$13:$E$74,2,0)&amp;""</f>
      </c>
      <c r="C203" s="45">
        <f>VLOOKUP($A203,Infrastructure!$A$13:$E$74,3,0)&amp;""</f>
      </c>
      <c r="D203" s="34">
        <f>IF(LEFT(VLOOKUP($A203,Infrastructure!$A$13:$E$74,5,0),21)='Auto Responses'!$A$32,'Auto Responses'!$A$33,VLOOKUP($A203,Infrastructure!$A$13:$E$74,4,0))&amp;""</f>
      </c>
      <c r="E203" s="323">
        <f>VLOOKUP($A203,Infrastructure!$A$13:$E$74,5,0)&amp;""</f>
      </c>
      <c r="F203" s="194"/>
      <c r="G203" s="30" t="str">
        <f>VLOOKUP($A203,Questions!$A$2:$X$333,21,0)&amp;""</f>
      </c>
      <c r="H203" s="184"/>
      <c r="I203" s="45" t="str">
        <f>VLOOKUP($A203,Questions!$A$2:$X$333,23,0)&amp;""</f>
      </c>
      <c r="J203" s="184"/>
      <c r="K203" s="48" t="b">
        <v>0</v>
      </c>
      <c r="L203" s="1"/>
    </row>
    <row r="204" spans="1:12" s="29" customFormat="1" ht="85" x14ac:dyDescent="0.15">
      <c r="A204" s="19" t="str">
        <f>Infrastructure!$A$53</f>
      </c>
      <c r="B204" s="20">
        <f>VLOOKUP($A204,Infrastructure!$A$13:$E$74,2,0)&amp;""</f>
      </c>
      <c r="C204" s="45">
        <f>VLOOKUP($A204,Infrastructure!$A$13:$E$74,3,0)&amp;""</f>
      </c>
      <c r="D204" s="34">
        <f>IF(LEFT(VLOOKUP($A204,Infrastructure!$A$13:$E$74,5,0),21)='Auto Responses'!$A$32,'Auto Responses'!$A$33,VLOOKUP($A204,Infrastructure!$A$13:$E$74,4,0))&amp;""</f>
      </c>
      <c r="E204" s="323">
        <f>VLOOKUP($A204,Infrastructure!$A$13:$E$74,5,0)&amp;""</f>
      </c>
      <c r="F204" s="194"/>
      <c r="G204" s="30" t="str">
        <f>VLOOKUP($A204,Questions!$A$2:$X$333,21,0)&amp;""</f>
      </c>
      <c r="H204" s="184"/>
      <c r="I204" s="45" t="str">
        <f>VLOOKUP($A204,Questions!$A$2:$X$333,23,0)&amp;""</f>
      </c>
      <c r="J204" s="184"/>
      <c r="K204" s="48" t="b">
        <v>0</v>
      </c>
      <c r="L204" s="1"/>
    </row>
    <row r="205" spans="1:12" s="29" customFormat="1" ht="68" x14ac:dyDescent="0.15">
      <c r="A205" s="19" t="str">
        <f>Infrastructure!$A$54</f>
      </c>
      <c r="B205" s="20">
        <f>VLOOKUP($A205,Infrastructure!$A$13:$E$74,2,0)&amp;""</f>
      </c>
      <c r="C205" s="45">
        <f>VLOOKUP($A205,Infrastructure!$A$13:$E$74,3,0)&amp;""</f>
      </c>
      <c r="D205" s="34">
        <f>IF(LEFT(VLOOKUP($A205,Infrastructure!$A$13:$E$74,5,0),21)='Auto Responses'!$A$32,'Auto Responses'!$A$33,VLOOKUP($A205,Infrastructure!$A$13:$E$74,4,0))&amp;""</f>
      </c>
      <c r="E205" s="323">
        <f>VLOOKUP($A205,Infrastructure!$A$13:$E$74,5,0)&amp;""</f>
      </c>
      <c r="F205" s="194"/>
      <c r="G205" s="30" t="str">
        <f>VLOOKUP($A205,Questions!$A$2:$X$333,21,0)&amp;""</f>
      </c>
      <c r="H205" s="184"/>
      <c r="I205" s="45" t="str">
        <f>VLOOKUP($A205,Questions!$A$2:$X$333,23,0)&amp;""</f>
      </c>
      <c r="J205" s="184"/>
      <c r="K205" s="48" t="b">
        <v>0</v>
      </c>
      <c r="L205" s="1"/>
    </row>
    <row r="206" spans="1:12" s="29" customFormat="1" ht="85" x14ac:dyDescent="0.15">
      <c r="A206" s="19" t="str">
        <f>Infrastructure!$A$55</f>
      </c>
      <c r="B206" s="20">
        <f>VLOOKUP($A206,Infrastructure!$A$13:$E$74,2,0)&amp;""</f>
      </c>
      <c r="C206" s="45">
        <f>VLOOKUP($A206,Infrastructure!$A$13:$E$74,3,0)&amp;""</f>
      </c>
      <c r="D206" s="34">
        <f>IF(LEFT(VLOOKUP($A206,Infrastructure!$A$13:$E$74,5,0),21)='Auto Responses'!$A$32,'Auto Responses'!$A$33,VLOOKUP($A206,Infrastructure!$A$13:$E$74,4,0))&amp;""</f>
      </c>
      <c r="E206" s="323">
        <f>VLOOKUP($A206,Infrastructure!$A$13:$E$74,5,0)&amp;""</f>
      </c>
      <c r="F206" s="194"/>
      <c r="G206" s="30" t="str">
        <f>VLOOKUP($A206,Questions!$A$2:$X$333,21,0)&amp;""</f>
      </c>
      <c r="H206" s="184"/>
      <c r="I206" s="45" t="str">
        <f>VLOOKUP($A206,Questions!$A$2:$X$333,23,0)&amp;""</f>
      </c>
      <c r="J206" s="184"/>
      <c r="K206" s="48" t="b">
        <v>0</v>
      </c>
      <c r="L206" s="1"/>
    </row>
    <row r="207" spans="1:12" s="29" customFormat="1" ht="68" x14ac:dyDescent="0.15">
      <c r="A207" s="19" t="str">
        <f>Infrastructure!$A$56</f>
      </c>
      <c r="B207" s="20">
        <f>VLOOKUP($A207,Infrastructure!$A$13:$E$74,2,0)&amp;""</f>
      </c>
      <c r="C207" s="45">
        <f>VLOOKUP($A207,Infrastructure!$A$13:$E$74,3,0)&amp;""</f>
      </c>
      <c r="D207" s="34">
        <f>IF(LEFT(VLOOKUP($A207,Infrastructure!$A$13:$E$74,5,0),21)='Auto Responses'!$A$32,'Auto Responses'!$A$33,VLOOKUP($A207,Infrastructure!$A$13:$E$74,4,0))&amp;""</f>
      </c>
      <c r="E207" s="323">
        <f>VLOOKUP($A207,Infrastructure!$A$13:$E$74,5,0)&amp;""</f>
      </c>
      <c r="F207" s="194"/>
      <c r="G207" s="30" t="str">
        <f>VLOOKUP($A207,Questions!$A$2:$X$333,21,0)&amp;""</f>
      </c>
      <c r="H207" s="184"/>
      <c r="I207" s="45" t="str">
        <f>VLOOKUP($A207,Questions!$A$2:$X$333,23,0)&amp;""</f>
      </c>
      <c r="J207" s="184"/>
      <c r="K207" s="48" t="b">
        <v>0</v>
      </c>
      <c r="L207" s="1"/>
    </row>
    <row r="208" spans="1:12" s="29" customFormat="1" ht="34" x14ac:dyDescent="0.15">
      <c r="A208" s="19" t="str">
        <f>Infrastructure!$A$57</f>
      </c>
      <c r="B208" s="20">
        <f>VLOOKUP($A208,Infrastructure!$A$13:$E$74,2,0)&amp;""</f>
      </c>
      <c r="C208" s="45">
        <f>VLOOKUP($A208,Infrastructure!$A$13:$E$74,3,0)&amp;""</f>
      </c>
      <c r="D208" s="34">
        <f>IF(LEFT(VLOOKUP($A208,Infrastructure!$A$13:$E$74,5,0),21)='Auto Responses'!$A$32,'Auto Responses'!$A$33,VLOOKUP($A208,Infrastructure!$A$13:$E$74,4,0))&amp;""</f>
      </c>
      <c r="E208" s="323">
        <f>VLOOKUP($A208,Infrastructure!$A$13:$E$74,5,0)&amp;""</f>
      </c>
      <c r="F208" s="194"/>
      <c r="G208" s="30" t="str">
        <f>VLOOKUP($A208,Questions!$A$2:$X$333,21,0)&amp;""</f>
      </c>
      <c r="H208" s="184"/>
      <c r="I208" s="45" t="str">
        <f>VLOOKUP($A208,Questions!$A$2:$X$333,23,0)&amp;""</f>
      </c>
      <c r="J208" s="184"/>
      <c r="K208" s="48" t="b">
        <v>0</v>
      </c>
      <c r="L208" s="1"/>
    </row>
    <row r="209" spans="1:12" s="29" customFormat="1" ht="68" x14ac:dyDescent="0.15">
      <c r="A209" s="19" t="str">
        <f>Infrastructure!$A$58</f>
      </c>
      <c r="B209" s="20">
        <f>VLOOKUP($A209,Infrastructure!$A$13:$E$74,2,0)&amp;""</f>
      </c>
      <c r="C209" s="45">
        <f>VLOOKUP($A209,Infrastructure!$A$13:$E$74,3,0)&amp;""</f>
      </c>
      <c r="D209" s="34">
        <f>IF(LEFT(VLOOKUP($A209,Infrastructure!$A$13:$E$74,5,0),21)='Auto Responses'!$A$32,'Auto Responses'!$A$33,VLOOKUP($A209,Infrastructure!$A$13:$E$74,4,0))&amp;""</f>
      </c>
      <c r="E209" s="323">
        <f>VLOOKUP($A209,Infrastructure!$A$13:$E$74,5,0)&amp;""</f>
      </c>
      <c r="F209" s="194"/>
      <c r="G209" s="30" t="str">
        <f>VLOOKUP($A209,Questions!$A$2:$X$333,21,0)&amp;""</f>
      </c>
      <c r="H209" s="184"/>
      <c r="I209" s="45" t="str">
        <f>VLOOKUP($A209,Questions!$A$2:$X$333,23,0)&amp;""</f>
      </c>
      <c r="J209" s="184"/>
      <c r="K209" s="48" t="b">
        <v>0</v>
      </c>
      <c r="L209" s="1"/>
    </row>
    <row r="210" spans="1:12" s="29" customFormat="1" ht="85" x14ac:dyDescent="0.15">
      <c r="A210" s="19" t="str">
        <f>Infrastructure!$A$59</f>
      </c>
      <c r="B210" s="20">
        <f>VLOOKUP($A210,Infrastructure!$A$13:$E$74,2,0)&amp;""</f>
      </c>
      <c r="C210" s="45">
        <f>VLOOKUP($A210,Infrastructure!$A$13:$E$74,3,0)&amp;""</f>
      </c>
      <c r="D210" s="34">
        <f>IF(LEFT(VLOOKUP($A210,Infrastructure!$A$13:$E$74,5,0),21)='Auto Responses'!$A$32,'Auto Responses'!$A$33,VLOOKUP($A210,Infrastructure!$A$13:$E$74,4,0))&amp;""</f>
      </c>
      <c r="E210" s="323">
        <f>VLOOKUP($A210,Infrastructure!$A$13:$E$74,5,0)&amp;""</f>
      </c>
      <c r="F210" s="194"/>
      <c r="G210" s="30" t="str">
        <f>VLOOKUP($A210,Questions!$A$2:$X$333,21,0)&amp;""</f>
      </c>
      <c r="H210" s="184"/>
      <c r="I210" s="45" t="str">
        <f>VLOOKUP($A210,Questions!$A$2:$X$333,23,0)&amp;""</f>
      </c>
      <c r="J210" s="184"/>
      <c r="K210" s="48" t="b">
        <v>0</v>
      </c>
      <c r="L210" s="1"/>
    </row>
    <row r="211" spans="1:12" s="29" customFormat="1" ht="51" x14ac:dyDescent="0.15">
      <c r="A211" s="19" t="str">
        <f>Infrastructure!$A$60</f>
      </c>
      <c r="B211" s="20">
        <f>VLOOKUP($A211,Infrastructure!$A$13:$E$74,2,0)&amp;""</f>
      </c>
      <c r="C211" s="45">
        <f>VLOOKUP($A211,Infrastructure!$A$13:$E$74,3,0)&amp;""</f>
      </c>
      <c r="D211" s="34">
        <f>IF(LEFT(VLOOKUP($A211,Infrastructure!$A$13:$E$74,5,0),21)='Auto Responses'!$A$32,'Auto Responses'!$A$33,VLOOKUP($A211,Infrastructure!$A$13:$E$74,4,0))&amp;""</f>
      </c>
      <c r="E211" s="323">
        <f>VLOOKUP($A211,Infrastructure!$A$13:$E$74,5,0)&amp;""</f>
      </c>
      <c r="F211" s="194"/>
      <c r="G211" s="30" t="str">
        <f>VLOOKUP($A211,Questions!$A$2:$X$333,21,0)&amp;""</f>
      </c>
      <c r="H211" s="184"/>
      <c r="I211" s="45" t="str">
        <f>VLOOKUP($A211,Questions!$A$2:$X$333,23,0)&amp;""</f>
      </c>
      <c r="J211" s="184"/>
      <c r="K211" s="48" t="b">
        <v>0</v>
      </c>
      <c r="L211" s="1"/>
    </row>
    <row r="212" spans="1:12" s="29" customFormat="1" ht="85" x14ac:dyDescent="0.15">
      <c r="A212" s="19" t="str">
        <f>Infrastructure!$A$61</f>
      </c>
      <c r="B212" s="20">
        <f>VLOOKUP($A212,Infrastructure!$A$13:$E$74,2,0)&amp;""</f>
      </c>
      <c r="C212" s="45">
        <f>VLOOKUP($A212,Infrastructure!$A$13:$E$74,3,0)&amp;""</f>
      </c>
      <c r="D212" s="34">
        <f>IF(LEFT(VLOOKUP($A212,Infrastructure!$A$13:$E$74,5,0),21)='Auto Responses'!$A$32,'Auto Responses'!$A$33,VLOOKUP($A212,Infrastructure!$A$13:$E$74,4,0))&amp;""</f>
      </c>
      <c r="E212" s="323">
        <f>VLOOKUP($A212,Infrastructure!$A$13:$E$74,5,0)&amp;""</f>
      </c>
      <c r="F212" s="194"/>
      <c r="G212" s="30" t="str">
        <f>VLOOKUP($A212,Questions!$A$2:$X$333,21,0)&amp;""</f>
      </c>
      <c r="H212" s="184"/>
      <c r="I212" s="45" t="str">
        <f>VLOOKUP($A212,Questions!$A$2:$X$333,23,0)&amp;""</f>
      </c>
      <c r="J212" s="184"/>
      <c r="K212" s="48" t="b">
        <v>0</v>
      </c>
      <c r="L212" s="1"/>
    </row>
    <row r="213" spans="1:12" s="29" customFormat="1" ht="68" x14ac:dyDescent="0.15">
      <c r="A213" s="19" t="str">
        <f>Infrastructure!$A$62</f>
      </c>
      <c r="B213" s="20">
        <f>VLOOKUP($A213,Infrastructure!$A$13:$E$74,2,0)&amp;""</f>
      </c>
      <c r="C213" s="45">
        <f>VLOOKUP($A213,Infrastructure!$A$13:$E$74,3,0)&amp;""</f>
      </c>
      <c r="D213" s="34">
        <f>IF(LEFT(VLOOKUP($A213,Infrastructure!$A$13:$E$74,5,0),21)='Auto Responses'!$A$32,'Auto Responses'!$A$33,VLOOKUP($A213,Infrastructure!$A$13:$E$74,4,0))&amp;""</f>
      </c>
      <c r="E213" s="323">
        <f>VLOOKUP($A213,Infrastructure!$A$13:$E$74,5,0)&amp;""</f>
      </c>
      <c r="F213" s="194"/>
      <c r="G213" s="30" t="str">
        <f>VLOOKUP($A213,Questions!$A$2:$X$333,21,0)&amp;""</f>
      </c>
      <c r="H213" s="184"/>
      <c r="I213" s="45" t="str">
        <f>VLOOKUP($A213,Questions!$A$2:$X$333,23,0)&amp;""</f>
      </c>
      <c r="J213" s="184"/>
      <c r="K213" s="48" t="b">
        <v>0</v>
      </c>
      <c r="L213" s="1"/>
    </row>
    <row r="214" spans="1:12" s="1" customFormat="1" ht="18" x14ac:dyDescent="0.15">
      <c r="A214" s="63" t="str">
        <f>VLOOKUP(LEFT($A215,4),'Auto Responses'!$N$4:$O$38,2,0)&amp;""</f>
        <v xml:space="preserve"> Incident Handling</v>
      </c>
      <c r="B214" s="22"/>
      <c r="C214" s="31"/>
      <c r="D214" s="31"/>
      <c r="E214" s="324"/>
      <c r="F214" s="361" t="s">
        <v>1030</v>
      </c>
      <c r="G214" s="328" t="s">
        <v>869</v>
      </c>
      <c r="H214" s="328" t="s">
        <v>871</v>
      </c>
      <c r="I214" s="328" t="s">
        <v>19</v>
      </c>
      <c r="J214" s="328" t="s">
        <v>856</v>
      </c>
      <c r="K214" s="328" t="s">
        <v>867</v>
      </c>
    </row>
    <row r="215" spans="1:12" s="29" customFormat="1" ht="51" x14ac:dyDescent="0.15">
      <c r="A215" s="19">
        <f>Infrastructure!$A$64</f>
      </c>
      <c r="B215" s="20">
        <f>VLOOKUP($A215,Infrastructure!$A$13:$E$74,2,0)&amp;""</f>
      </c>
      <c r="C215" s="45">
        <f>VLOOKUP($A215,Infrastructure!$A$13:$E$74,3,0)&amp;""</f>
      </c>
      <c r="D215" s="34">
        <f>IF(LEFT(VLOOKUP($A215,Infrastructure!$A$13:$E$74,5,0),21)='Auto Responses'!$A$32,'Auto Responses'!$A$33,VLOOKUP($A215,Infrastructure!$A$13:$E$74,4,0))&amp;""</f>
      </c>
      <c r="E215" s="323">
        <f>VLOOKUP($A215,Infrastructure!$A$13:$E$74,5,0)&amp;""</f>
      </c>
      <c r="F215" s="194"/>
      <c r="G215" s="30" t="str">
        <f>VLOOKUP($A215,Questions!$A$2:$X$333,21,0)&amp;""</f>
      </c>
      <c r="H215" s="184"/>
      <c r="I215" s="45" t="str">
        <f>VLOOKUP($A215,Questions!$A$2:$X$333,23,0)&amp;""</f>
      </c>
      <c r="J215" s="184"/>
      <c r="K215" s="48" t="b">
        <v>0</v>
      </c>
      <c r="L215" s="1"/>
    </row>
    <row r="216" spans="1:12" s="29" customFormat="1" ht="68" x14ac:dyDescent="0.15">
      <c r="A216" s="19" t="str">
        <f>Infrastructure!$A$65</f>
      </c>
      <c r="B216" s="20">
        <f>VLOOKUP($A216,Infrastructure!$A$13:$E$74,2,0)&amp;""</f>
      </c>
      <c r="C216" s="45">
        <f>VLOOKUP($A216,Infrastructure!$A$13:$E$74,3,0)&amp;""</f>
      </c>
      <c r="D216" s="34">
        <f>IF(LEFT(VLOOKUP($A216,Infrastructure!$A$13:$E$74,5,0),21)='Auto Responses'!$A$32,'Auto Responses'!$A$33,VLOOKUP($A216,Infrastructure!$A$13:$E$74,4,0))&amp;""</f>
      </c>
      <c r="E216" s="323">
        <f>VLOOKUP($A216,Infrastructure!$A$13:$E$74,5,0)&amp;""</f>
      </c>
      <c r="F216" s="194"/>
      <c r="G216" s="30" t="str">
        <f>VLOOKUP($A216,Questions!$A$2:$X$333,21,0)&amp;""</f>
      </c>
      <c r="H216" s="184"/>
      <c r="I216" s="45" t="str">
        <f>VLOOKUP($A216,Questions!$A$2:$X$333,23,0)&amp;""</f>
      </c>
      <c r="J216" s="184"/>
      <c r="K216" s="48" t="b">
        <v>0</v>
      </c>
      <c r="L216" s="1"/>
    </row>
    <row r="217" spans="1:12" s="29" customFormat="1" ht="51" x14ac:dyDescent="0.15">
      <c r="A217" s="19" t="str">
        <f>Infrastructure!$A$66</f>
      </c>
      <c r="B217" s="20">
        <f>VLOOKUP($A217,Infrastructure!$A$13:$E$74,2,0)&amp;""</f>
      </c>
      <c r="C217" s="45">
        <f>VLOOKUP($A217,Infrastructure!$A$13:$E$74,3,0)&amp;""</f>
      </c>
      <c r="D217" s="34">
        <f>IF(LEFT(VLOOKUP($A217,Infrastructure!$A$13:$E$74,5,0),21)='Auto Responses'!$A$32,'Auto Responses'!$A$33,VLOOKUP($A217,Infrastructure!$A$13:$E$74,4,0))&amp;""</f>
      </c>
      <c r="E217" s="323">
        <f>VLOOKUP($A217,Infrastructure!$A$13:$E$74,5,0)&amp;""</f>
      </c>
      <c r="F217" s="194"/>
      <c r="G217" s="30" t="str">
        <f>VLOOKUP($A217,Questions!$A$2:$X$333,21,0)&amp;""</f>
      </c>
      <c r="H217" s="184"/>
      <c r="I217" s="45" t="str">
        <f>VLOOKUP($A217,Questions!$A$2:$X$333,23,0)&amp;""</f>
      </c>
      <c r="J217" s="184"/>
      <c r="K217" s="48" t="b">
        <v>0</v>
      </c>
      <c r="L217" s="1"/>
    </row>
    <row r="218" spans="1:12" s="29" customFormat="1" ht="170" x14ac:dyDescent="0.15">
      <c r="A218" s="19" t="str">
        <f>Infrastructure!$A$67</f>
      </c>
      <c r="B218" s="20">
        <f>VLOOKUP($A218,Infrastructure!$A$13:$E$74,2,0)&amp;""</f>
      </c>
      <c r="C218" s="45">
        <f>VLOOKUP($A218,Infrastructure!$A$13:$E$74,3,0)&amp;""</f>
      </c>
      <c r="D218" s="34">
        <f>IF(LEFT(VLOOKUP($A218,Infrastructure!$A$13:$E$74,5,0),21)='Auto Responses'!$A$32,'Auto Responses'!$A$33,VLOOKUP($A218,Infrastructure!$A$13:$E$74,4,0))&amp;""</f>
      </c>
      <c r="E218" s="323">
        <f>VLOOKUP($A218,Infrastructure!$A$13:$E$74,5,0)&amp;""</f>
      </c>
      <c r="F218" s="194"/>
      <c r="G218" s="30" t="str">
        <f>VLOOKUP($A218,Questions!$A$2:$X$333,21,0)&amp;""</f>
      </c>
      <c r="H218" s="184"/>
      <c r="I218" s="45" t="str">
        <f>VLOOKUP($A218,Questions!$A$2:$X$333,23,0)&amp;""</f>
      </c>
      <c r="J218" s="184"/>
      <c r="K218" s="48" t="b">
        <v>0</v>
      </c>
      <c r="L218" s="1"/>
    </row>
    <row r="219" spans="1:12" s="1" customFormat="1" ht="18" x14ac:dyDescent="0.15">
      <c r="A219" s="63" t="str">
        <f>VLOOKUP(LEFT($A220,4),'Auto Responses'!$N$4:$O$38,2,0)&amp;""</f>
        <v xml:space="preserve"> Vulnerability Management</v>
      </c>
      <c r="B219" s="22"/>
      <c r="C219" s="31"/>
      <c r="D219" s="31"/>
      <c r="E219" s="324"/>
      <c r="F219" s="361" t="s">
        <v>1030</v>
      </c>
      <c r="G219" s="328" t="s">
        <v>869</v>
      </c>
      <c r="H219" s="328" t="s">
        <v>871</v>
      </c>
      <c r="I219" s="328" t="s">
        <v>19</v>
      </c>
      <c r="J219" s="328" t="s">
        <v>856</v>
      </c>
      <c r="K219" s="328" t="s">
        <v>867</v>
      </c>
    </row>
    <row r="220" spans="1:12" s="29" customFormat="1" ht="85" x14ac:dyDescent="0.15">
      <c r="A220" s="19">
        <f>Infrastructure!$A$69</f>
      </c>
      <c r="B220" s="20">
        <f>VLOOKUP($A220,Infrastructure!$A$13:$E$74,2,0)&amp;""</f>
      </c>
      <c r="C220" s="45">
        <f>VLOOKUP($A220,Infrastructure!$A$13:$E$74,3,0)&amp;""</f>
      </c>
      <c r="D220" s="34">
        <f>IF(LEFT(VLOOKUP($A220,Infrastructure!$A$13:$E$74,5,0),21)='Auto Responses'!$A$32,'Auto Responses'!$A$33,VLOOKUP($A220,Infrastructure!$A$13:$E$74,4,0))&amp;""</f>
      </c>
      <c r="E220" s="323">
        <f>VLOOKUP($A220,Infrastructure!$A$13:$E$74,5,0)&amp;""</f>
      </c>
      <c r="F220" s="194"/>
      <c r="G220" s="30" t="str">
        <f>VLOOKUP($A220,Questions!$A$2:$X$333,21,0)&amp;""</f>
      </c>
      <c r="H220" s="184"/>
      <c r="I220" s="45" t="str">
        <f>VLOOKUP($A220,Questions!$A$2:$X$333,23,0)&amp;""</f>
      </c>
      <c r="J220" s="184"/>
      <c r="K220" s="48" t="b">
        <v>0</v>
      </c>
      <c r="L220" s="1"/>
    </row>
    <row r="221" spans="1:12" s="29" customFormat="1" ht="68" x14ac:dyDescent="0.15">
      <c r="A221" s="19" t="str">
        <f>Infrastructure!$A$70</f>
      </c>
      <c r="B221" s="20">
        <f>VLOOKUP($A221,Infrastructure!$A$13:$E$74,2,0)&amp;""</f>
      </c>
      <c r="C221" s="45">
        <f>VLOOKUP($A221,Infrastructure!$A$13:$E$74,3,0)&amp;""</f>
      </c>
      <c r="D221" s="34">
        <f>IF(LEFT(VLOOKUP($A221,Infrastructure!$A$13:$E$74,5,0),21)='Auto Responses'!$A$32,'Auto Responses'!$A$33,VLOOKUP($A221,Infrastructure!$A$13:$E$74,4,0))&amp;""</f>
      </c>
      <c r="E221" s="323">
        <f>VLOOKUP($A221,Infrastructure!$A$13:$E$74,5,0)&amp;""</f>
      </c>
      <c r="F221" s="194"/>
      <c r="G221" s="30" t="str">
        <f>VLOOKUP($A221,Questions!$A$2:$X$333,21,0)&amp;""</f>
      </c>
      <c r="H221" s="184"/>
      <c r="I221" s="45" t="str">
        <f>VLOOKUP($A221,Questions!$A$2:$X$333,23,0)&amp;""</f>
      </c>
      <c r="J221" s="184"/>
      <c r="K221" s="48" t="b">
        <v>0</v>
      </c>
      <c r="L221" s="1"/>
    </row>
    <row r="222" spans="1:12" s="29" customFormat="1" ht="68" x14ac:dyDescent="0.15">
      <c r="A222" s="19" t="str">
        <f>Infrastructure!$A$71</f>
      </c>
      <c r="B222" s="20">
        <f>VLOOKUP($A222,Infrastructure!$A$13:$E$74,2,0)&amp;""</f>
      </c>
      <c r="C222" s="45">
        <f>VLOOKUP($A222,Infrastructure!$A$13:$E$74,3,0)&amp;""</f>
      </c>
      <c r="D222" s="34">
        <f>IF(LEFT(VLOOKUP($A222,Infrastructure!$A$13:$E$74,5,0),21)='Auto Responses'!$A$32,'Auto Responses'!$A$33,VLOOKUP($A222,Infrastructure!$A$13:$E$74,4,0))&amp;""</f>
      </c>
      <c r="E222" s="323">
        <f>VLOOKUP($A222,Infrastructure!$A$13:$E$74,5,0)&amp;""</f>
      </c>
      <c r="F222" s="194"/>
      <c r="G222" s="30" t="str">
        <f>VLOOKUP($A222,Questions!$A$2:$X$333,21,0)&amp;""</f>
      </c>
      <c r="H222" s="184"/>
      <c r="I222" s="45" t="str">
        <f>VLOOKUP($A222,Questions!$A$2:$X$333,23,0)&amp;""</f>
      </c>
      <c r="J222" s="184"/>
      <c r="K222" s="48" t="b">
        <v>0</v>
      </c>
      <c r="L222" s="1"/>
    </row>
    <row r="223" spans="1:12" s="29" customFormat="1" ht="68" x14ac:dyDescent="0.15">
      <c r="A223" s="19" t="str">
        <f>Infrastructure!$A$72</f>
      </c>
      <c r="B223" s="20">
        <f>VLOOKUP($A223,Infrastructure!$A$13:$E$74,2,0)&amp;""</f>
      </c>
      <c r="C223" s="45">
        <f>VLOOKUP($A223,Infrastructure!$A$13:$E$74,3,0)&amp;""</f>
      </c>
      <c r="D223" s="34">
        <f>IF(LEFT(VLOOKUP($A223,Infrastructure!$A$13:$E$74,5,0),21)='Auto Responses'!$A$32,'Auto Responses'!$A$33,VLOOKUP($A223,Infrastructure!$A$13:$E$74,4,0))&amp;""</f>
      </c>
      <c r="E223" s="323">
        <f>VLOOKUP($A223,Infrastructure!$A$13:$E$74,5,0)&amp;""</f>
      </c>
      <c r="F223" s="194"/>
      <c r="G223" s="30" t="str">
        <f>VLOOKUP($A223,Questions!$A$2:$X$333,21,0)&amp;""</f>
      </c>
      <c r="H223" s="184"/>
      <c r="I223" s="45" t="str">
        <f>VLOOKUP($A223,Questions!$A$2:$X$333,23,0)&amp;""</f>
      </c>
      <c r="J223" s="184"/>
      <c r="K223" s="48" t="b">
        <v>0</v>
      </c>
      <c r="L223" s="1"/>
    </row>
    <row r="224" spans="1:12" s="29" customFormat="1" ht="51" x14ac:dyDescent="0.15">
      <c r="A224" s="19" t="str">
        <f>Infrastructure!$A$73</f>
      </c>
      <c r="B224" s="20">
        <f>VLOOKUP($A224,Infrastructure!$A$13:$E$74,2,0)&amp;""</f>
      </c>
      <c r="C224" s="45">
        <f>VLOOKUP($A224,Infrastructure!$A$13:$E$74,3,0)&amp;""</f>
      </c>
      <c r="D224" s="34">
        <f>IF(LEFT(VLOOKUP($A224,Infrastructure!$A$13:$E$74,5,0),21)='Auto Responses'!$A$32,'Auto Responses'!$A$33,VLOOKUP($A224,Infrastructure!$A$13:$E$74,4,0))&amp;""</f>
      </c>
      <c r="E224" s="323">
        <f>VLOOKUP($A224,Infrastructure!$A$13:$E$74,5,0)&amp;""</f>
      </c>
      <c r="F224" s="194"/>
      <c r="G224" s="30" t="str">
        <f>VLOOKUP($A224,Questions!$A$2:$X$333,21,0)&amp;""</f>
      </c>
      <c r="H224" s="184"/>
      <c r="I224" s="45" t="str">
        <f>VLOOKUP($A224,Questions!$A$2:$X$333,23,0)&amp;""</f>
      </c>
      <c r="J224" s="184"/>
      <c r="K224" s="48" t="b">
        <v>0</v>
      </c>
      <c r="L224" s="1"/>
    </row>
    <row r="225" spans="1:12" s="29" customFormat="1" ht="69" thickBot="1" x14ac:dyDescent="0.2">
      <c r="A225" s="19" t="str">
        <f>Infrastructure!$A$74</f>
      </c>
      <c r="B225" s="20">
        <f>VLOOKUP($A225,Infrastructure!$A$13:$E$74,2,0)&amp;""</f>
      </c>
      <c r="C225" s="45">
        <f>VLOOKUP($A225,Infrastructure!$A$13:$E$74,3,0)&amp;""</f>
      </c>
      <c r="D225" s="34">
        <f>IF(LEFT(VLOOKUP($A225,Infrastructure!$A$13:$E$74,5,0),21)='Auto Responses'!$A$32,'Auto Responses'!$A$33,VLOOKUP($A225,Infrastructure!$A$13:$E$74,4,0))&amp;""</f>
      </c>
      <c r="E225" s="323">
        <f>VLOOKUP($A225,Infrastructure!$A$13:$E$74,5,0)&amp;""</f>
      </c>
      <c r="F225" s="194"/>
      <c r="G225" s="30" t="str">
        <f>VLOOKUP($A225,Questions!$A$2:$X$333,21,0)&amp;""</f>
      </c>
      <c r="H225" s="184"/>
      <c r="I225" s="45" t="str">
        <f>VLOOKUP($A225,Questions!$A$2:$X$333,23,0)&amp;""</f>
      </c>
      <c r="J225" s="184"/>
      <c r="K225" s="49" t="b">
        <v>0</v>
      </c>
      <c r="L225" s="1"/>
    </row>
    <row r="226" spans="1:12" s="1" customFormat="1" ht="18" x14ac:dyDescent="0.15">
      <c r="A226" s="63" t="str">
        <f>VLOOKUP(LEFT($A227,4),'Auto Responses'!$N$4:$O$38,2,0)&amp;""</f>
        <v xml:space="preserve"> IT Accessibility</v>
      </c>
      <c r="B226" s="22"/>
      <c r="C226" s="31"/>
      <c r="D226" s="31"/>
      <c r="E226" s="324"/>
      <c r="F226" s="361" t="s">
        <v>1030</v>
      </c>
      <c r="G226" s="328" t="s">
        <v>869</v>
      </c>
      <c r="H226" s="328" t="s">
        <v>871</v>
      </c>
      <c r="I226" s="328" t="s">
        <v>19</v>
      </c>
      <c r="J226" s="328" t="s">
        <v>856</v>
      </c>
      <c r="K226" s="328" t="s">
        <v>867</v>
      </c>
    </row>
    <row r="227" spans="1:12" s="29" customFormat="1" ht="17" x14ac:dyDescent="0.15">
      <c r="A227" s="19">
        <f>'IT Accessibility'!$A$20</f>
      </c>
      <c r="B227" s="20">
        <f>VLOOKUP($A227,'IT Accessibility'!$A$13:$E$37,2,0)&amp;""</f>
      </c>
      <c r="C227" s="299">
        <f>VLOOKUP($A227,'IT Accessibility'!$A$13:$E$37,3,0)&amp;""</f>
      </c>
      <c r="D227" s="300">
        <f>IF(LEFT(VLOOKUP($A227,'IT Accessibility'!$A$13:$E$37,5,0),21)='Auto Responses'!$A$32,'Auto Responses'!$A$33,VLOOKUP($A227,'IT Accessibility'!$A$13:$E$37,4,0))&amp;""</f>
      </c>
      <c r="E227" s="326">
        <f>VLOOKUP($A227,'IT Accessibility'!$A$13:$E$37,5,0)&amp;""</f>
      </c>
      <c r="F227" s="194"/>
      <c r="G227" s="30" t="str">
        <f>VLOOKUP($A227,Questions!$A$2:$X$333,21,0)&amp;""</f>
      </c>
      <c r="H227" s="184"/>
      <c r="I227" s="45" t="str">
        <f>VLOOKUP($A227,Questions!$A$2:$X$333,23,0)&amp;""</f>
      </c>
      <c r="J227" s="184"/>
      <c r="K227" s="48" t="b">
        <v>0</v>
      </c>
      <c r="L227" s="1"/>
    </row>
    <row r="228" spans="1:12" s="29" customFormat="1" ht="17" x14ac:dyDescent="0.15">
      <c r="A228" s="19" t="str">
        <f>'IT Accessibility'!$A$21</f>
      </c>
      <c r="B228" s="20">
        <f>VLOOKUP($A228,'IT Accessibility'!$A$13:$E$37,2,0)&amp;""</f>
      </c>
      <c r="C228" s="299">
        <f>VLOOKUP($A228,'IT Accessibility'!$A$13:$E$37,3,0)&amp;""</f>
      </c>
      <c r="D228" s="300">
        <f>IF(LEFT(VLOOKUP($A228,'IT Accessibility'!$A$13:$E$37,5,0),21)='Auto Responses'!$A$32,'Auto Responses'!$A$33,VLOOKUP($A228,'IT Accessibility'!$A$13:$E$37,4,0))&amp;""</f>
      </c>
      <c r="E228" s="326">
        <f>VLOOKUP($A228,'IT Accessibility'!$A$13:$E$37,5,0)&amp;""</f>
      </c>
      <c r="F228" s="194"/>
      <c r="G228" s="30" t="str">
        <f>VLOOKUP($A228,Questions!$A$2:$X$333,21,0)&amp;""</f>
      </c>
      <c r="H228" s="184"/>
      <c r="I228" s="45" t="str">
        <f>VLOOKUP($A228,Questions!$A$2:$X$333,23,0)&amp;""</f>
      </c>
      <c r="J228" s="184"/>
      <c r="K228" s="48" t="b">
        <v>0</v>
      </c>
      <c r="L228" s="1"/>
    </row>
    <row r="229" spans="1:12" s="29" customFormat="1" ht="17" x14ac:dyDescent="0.15">
      <c r="A229" s="19" t="str">
        <f>'IT Accessibility'!$A$22</f>
      </c>
      <c r="B229" s="20">
        <f>VLOOKUP($A229,'IT Accessibility'!$A$13:$E$37,2,0)&amp;""</f>
      </c>
      <c r="C229" s="299">
        <f>VLOOKUP($A229,'IT Accessibility'!$A$13:$E$37,3,0)&amp;""</f>
      </c>
      <c r="D229" s="300">
        <f>IF(LEFT(VLOOKUP($A229,'IT Accessibility'!$A$13:$E$37,5,0),21)='Auto Responses'!$A$32,'Auto Responses'!$A$33,VLOOKUP($A229,'IT Accessibility'!$A$13:$E$37,4,0))&amp;""</f>
      </c>
      <c r="E229" s="326">
        <f>VLOOKUP($A229,'IT Accessibility'!$A$13:$E$37,5,0)&amp;""</f>
      </c>
      <c r="F229" s="194"/>
      <c r="G229" s="30" t="str">
        <f>VLOOKUP($A229,Questions!$A$2:$X$333,21,0)&amp;""</f>
      </c>
      <c r="H229" s="184"/>
      <c r="I229" s="45" t="str">
        <f>VLOOKUP($A229,Questions!$A$2:$X$333,23,0)&amp;""</f>
      </c>
      <c r="J229" s="184"/>
      <c r="K229" s="48" t="b">
        <v>0</v>
      </c>
      <c r="L229" s="1"/>
    </row>
    <row r="230" spans="1:12" s="29" customFormat="1" ht="17" x14ac:dyDescent="0.15">
      <c r="A230" s="19" t="str">
        <f>'IT Accessibility'!$A$23</f>
      </c>
      <c r="B230" s="20">
        <f>VLOOKUP($A230,'IT Accessibility'!$A$13:$E$37,2,0)&amp;""</f>
      </c>
      <c r="C230" s="299">
        <f>VLOOKUP($A230,'IT Accessibility'!$A$13:$E$37,3,0)&amp;""</f>
      </c>
      <c r="D230" s="300">
        <f>IF(LEFT(VLOOKUP($A230,'IT Accessibility'!$A$13:$E$37,5,0),21)='Auto Responses'!$A$32,'Auto Responses'!$A$33,VLOOKUP($A230,'IT Accessibility'!$A$13:$E$37,4,0))&amp;""</f>
      </c>
      <c r="E230" s="326">
        <f>VLOOKUP($A230,'IT Accessibility'!$A$13:$E$37,5,0)&amp;""</f>
      </c>
      <c r="F230" s="194"/>
      <c r="G230" s="30" t="str">
        <f>VLOOKUP($A230,Questions!$A$2:$X$333,21,0)&amp;""</f>
      </c>
      <c r="H230" s="184"/>
      <c r="I230" s="45" t="str">
        <f>VLOOKUP($A230,Questions!$A$2:$X$333,23,0)&amp;""</f>
      </c>
      <c r="J230" s="184"/>
      <c r="K230" s="48" t="b">
        <v>0</v>
      </c>
      <c r="L230" s="1"/>
    </row>
    <row r="231" spans="1:12" s="29" customFormat="1" ht="68" x14ac:dyDescent="0.15">
      <c r="A231" s="19" t="str">
        <f>'IT Accessibility'!$A$24</f>
      </c>
      <c r="B231" s="20">
        <f>VLOOKUP($A231,'IT Accessibility'!$A$13:$E$37,2,0)&amp;""</f>
      </c>
      <c r="C231" s="299">
        <f>VLOOKUP($A231,'IT Accessibility'!$A$13:$E$37,3,0)&amp;""</f>
      </c>
      <c r="D231" s="300">
        <f>IF(LEFT(VLOOKUP($A231,'IT Accessibility'!$A$13:$E$37,5,0),21)='Auto Responses'!$A$32,'Auto Responses'!$A$33,VLOOKUP($A231,'IT Accessibility'!$A$13:$E$37,4,0))&amp;""</f>
      </c>
      <c r="E231" s="326">
        <f>VLOOKUP($A231,'IT Accessibility'!$A$13:$E$37,5,0)&amp;""</f>
      </c>
      <c r="F231" s="194"/>
      <c r="G231" s="30" t="str">
        <f>VLOOKUP($A231,Questions!$A$2:$X$333,21,0)&amp;""</f>
      </c>
      <c r="H231" s="184"/>
      <c r="I231" s="45" t="str">
        <f>VLOOKUP($A231,Questions!$A$2:$X$333,23,0)&amp;""</f>
      </c>
      <c r="J231" s="184"/>
      <c r="K231" s="48" t="b">
        <v>0</v>
      </c>
      <c r="L231" s="1"/>
    </row>
    <row r="232" spans="1:12" s="29" customFormat="1" ht="85" x14ac:dyDescent="0.15">
      <c r="A232" s="19" t="str">
        <f>'IT Accessibility'!$A$25</f>
      </c>
      <c r="B232" s="20">
        <f>VLOOKUP($A232,'IT Accessibility'!$A$13:$E$37,2,0)&amp;""</f>
      </c>
      <c r="C232" s="45">
        <f>VLOOKUP($A232,'IT Accessibility'!$A$13:$E$37,3,0)&amp;""</f>
      </c>
      <c r="D232" s="34">
        <f>IF(LEFT(VLOOKUP($A232,'IT Accessibility'!$A$13:$E$37,5,0),21)='Auto Responses'!$A$32,'Auto Responses'!$A$33,VLOOKUP($A232,'IT Accessibility'!$A$13:$E$37,4,0))&amp;""</f>
      </c>
      <c r="E232" s="326">
        <f>VLOOKUP($A232,'IT Accessibility'!$A$13:$E$37,5,0)&amp;""</f>
      </c>
      <c r="F232" s="194"/>
      <c r="G232" s="30" t="str">
        <f>VLOOKUP($A232,Questions!$A$2:$X$333,21,0)&amp;""</f>
      </c>
      <c r="H232" s="184"/>
      <c r="I232" s="45" t="str">
        <f>VLOOKUP($A232,Questions!$A$2:$X$333,23,0)&amp;""</f>
      </c>
      <c r="J232" s="184"/>
      <c r="K232" s="48" t="b">
        <v>0</v>
      </c>
      <c r="L232" s="1"/>
    </row>
    <row r="233" spans="1:12" s="29" customFormat="1" ht="30" x14ac:dyDescent="0.15">
      <c r="A233" s="19" t="str">
        <f>'IT Accessibility'!$A$26</f>
      </c>
      <c r="B233" s="20">
        <f>VLOOKUP($A233,'IT Accessibility'!$A$13:$E$37,2,0)&amp;""</f>
      </c>
      <c r="C233" s="45">
        <f>VLOOKUP($A233,'IT Accessibility'!$A$13:$E$37,3,0)&amp;""</f>
      </c>
      <c r="D233" s="34">
        <f>IF(LEFT(VLOOKUP($A233,'IT Accessibility'!$A$13:$E$37,5,0),21)='Auto Responses'!$A$32,'Auto Responses'!$A$33,VLOOKUP($A233,'IT Accessibility'!$A$13:$E$37,4,0))&amp;""</f>
      </c>
      <c r="E233" s="326">
        <f>VLOOKUP($A233,'IT Accessibility'!$A$13:$E$37,5,0)&amp;""</f>
      </c>
      <c r="F233" s="194"/>
      <c r="G233" s="30" t="str">
        <f>VLOOKUP($A233,Questions!$A$2:$X$333,21,0)&amp;""</f>
      </c>
      <c r="H233" s="184"/>
      <c r="I233" s="45" t="str">
        <f>VLOOKUP($A233,Questions!$A$2:$X$333,23,0)&amp;""</f>
      </c>
      <c r="J233" s="184"/>
      <c r="K233" s="48" t="b">
        <v>0</v>
      </c>
      <c r="L233" s="1"/>
    </row>
    <row r="234" spans="1:12" s="29" customFormat="1" ht="289" x14ac:dyDescent="0.15">
      <c r="A234" s="19" t="str">
        <f>'IT Accessibility'!$A$27</f>
      </c>
      <c r="B234" s="20">
        <f>VLOOKUP($A234,'IT Accessibility'!$A$13:$E$37,2,0)&amp;""</f>
      </c>
      <c r="C234" s="45">
        <f>VLOOKUP($A234,'IT Accessibility'!$A$13:$E$37,3,0)&amp;""</f>
      </c>
      <c r="D234" s="34">
        <f>IF(LEFT(VLOOKUP($A234,'IT Accessibility'!$A$13:$E$37,5,0),21)='Auto Responses'!$A$32,'Auto Responses'!$A$33,VLOOKUP($A234,'IT Accessibility'!$A$13:$E$37,4,0))&amp;""</f>
      </c>
      <c r="E234" s="326">
        <f>VLOOKUP($A234,'IT Accessibility'!$A$13:$E$37,5,0)&amp;""</f>
      </c>
      <c r="F234" s="194"/>
      <c r="G234" s="30" t="str">
        <f>VLOOKUP($A234,Questions!$A$2:$X$333,21,0)&amp;""</f>
      </c>
      <c r="H234" s="184"/>
      <c r="I234" s="45" t="str">
        <f>VLOOKUP($A234,Questions!$A$2:$X$333,23,0)&amp;""</f>
      </c>
      <c r="J234" s="184"/>
      <c r="K234" s="48" t="b">
        <v>0</v>
      </c>
      <c r="L234" s="1"/>
    </row>
    <row r="235" spans="1:12" s="29" customFormat="1" ht="136" x14ac:dyDescent="0.15">
      <c r="A235" s="19" t="str">
        <f>'IT Accessibility'!$A$28</f>
      </c>
      <c r="B235" s="20">
        <f>VLOOKUP($A235,'IT Accessibility'!$A$13:$E$37,2,0)&amp;""</f>
      </c>
      <c r="C235" s="45">
        <f>VLOOKUP($A235,'IT Accessibility'!$A$13:$E$37,3,0)&amp;""</f>
      </c>
      <c r="D235" s="34">
        <f>IF(LEFT(VLOOKUP($A235,'IT Accessibility'!$A$13:$E$37,5,0),21)='Auto Responses'!$A$32,'Auto Responses'!$A$33,VLOOKUP($A235,'IT Accessibility'!$A$13:$E$37,4,0))&amp;""</f>
      </c>
      <c r="E235" s="326">
        <f>VLOOKUP($A235,'IT Accessibility'!$A$13:$E$37,5,0)&amp;""</f>
      </c>
      <c r="F235" s="194"/>
      <c r="G235" s="30" t="str">
        <f>VLOOKUP($A235,Questions!$A$2:$X$333,21,0)&amp;""</f>
      </c>
      <c r="H235" s="184"/>
      <c r="I235" s="45" t="str">
        <f>VLOOKUP($A235,Questions!$A$2:$X$333,23,0)&amp;""</f>
      </c>
      <c r="J235" s="184"/>
      <c r="K235" s="48" t="b">
        <v>0</v>
      </c>
      <c r="L235" s="1"/>
    </row>
    <row r="236" spans="1:12" s="29" customFormat="1" ht="34" x14ac:dyDescent="0.15">
      <c r="A236" s="19" t="str">
        <f>'IT Accessibility'!$A$29</f>
      </c>
      <c r="B236" s="20">
        <f>VLOOKUP($A236,'IT Accessibility'!$A$13:$E$37,2,0)&amp;""</f>
      </c>
      <c r="C236" s="45">
        <f>VLOOKUP($A236,'IT Accessibility'!$A$13:$E$37,3,0)&amp;""</f>
      </c>
      <c r="D236" s="34">
        <f>IF(LEFT(VLOOKUP($A236,'IT Accessibility'!$A$13:$E$37,5,0),21)='Auto Responses'!$A$32,'Auto Responses'!$A$33,VLOOKUP($A236,'IT Accessibility'!$A$13:$E$37,4,0))&amp;""</f>
      </c>
      <c r="E236" s="326">
        <f>VLOOKUP($A236,'IT Accessibility'!$A$13:$E$37,5,0)&amp;""</f>
      </c>
      <c r="F236" s="194"/>
      <c r="G236" s="30" t="str">
        <f>VLOOKUP($A236,Questions!$A$2:$X$333,21,0)&amp;""</f>
      </c>
      <c r="H236" s="184"/>
      <c r="I236" s="45" t="str">
        <f>VLOOKUP($A236,Questions!$A$2:$X$333,23,0)&amp;""</f>
      </c>
      <c r="J236" s="184"/>
      <c r="K236" s="48" t="b">
        <v>0</v>
      </c>
      <c r="L236" s="1"/>
    </row>
    <row r="237" spans="1:12" s="29" customFormat="1" ht="85" x14ac:dyDescent="0.15">
      <c r="A237" s="19" t="str">
        <f>'IT Accessibility'!$A$30</f>
      </c>
      <c r="B237" s="20">
        <f>VLOOKUP($A237,'IT Accessibility'!$A$13:$E$37,2,0)&amp;""</f>
      </c>
      <c r="C237" s="45">
        <f>VLOOKUP($A237,'IT Accessibility'!$A$13:$E$37,3,0)&amp;""</f>
      </c>
      <c r="D237" s="34">
        <f>IF(LEFT(VLOOKUP($A237,'IT Accessibility'!$A$13:$E$37,5,0),21)='Auto Responses'!$A$32,'Auto Responses'!$A$33,VLOOKUP($A237,'IT Accessibility'!$A$13:$E$37,4,0))&amp;""</f>
      </c>
      <c r="E237" s="326">
        <f>VLOOKUP($A237,'IT Accessibility'!$A$13:$E$37,5,0)&amp;""</f>
      </c>
      <c r="F237" s="194"/>
      <c r="G237" s="30" t="str">
        <f>VLOOKUP($A237,Questions!$A$2:$X$333,21,0)&amp;""</f>
      </c>
      <c r="H237" s="184"/>
      <c r="I237" s="45" t="str">
        <f>VLOOKUP($A237,Questions!$A$2:$X$333,23,0)&amp;""</f>
      </c>
      <c r="J237" s="184"/>
      <c r="K237" s="48" t="b">
        <v>0</v>
      </c>
      <c r="L237" s="1"/>
    </row>
    <row r="238" spans="1:12" s="29" customFormat="1" ht="102" x14ac:dyDescent="0.15">
      <c r="A238" s="19" t="str">
        <f>'IT Accessibility'!$A$31</f>
      </c>
      <c r="B238" s="20">
        <f>VLOOKUP($A238,'IT Accessibility'!$A$13:$E$37,2,0)&amp;""</f>
      </c>
      <c r="C238" s="45">
        <f>VLOOKUP($A238,'IT Accessibility'!$A$13:$E$37,3,0)&amp;""</f>
      </c>
      <c r="D238" s="34">
        <f>IF(LEFT(VLOOKUP($A238,'IT Accessibility'!$A$13:$E$37,5,0),21)='Auto Responses'!$A$32,'Auto Responses'!$A$33,VLOOKUP($A238,'IT Accessibility'!$A$13:$E$37,4,0))&amp;""</f>
      </c>
      <c r="E238" s="326">
        <f>VLOOKUP($A238,'IT Accessibility'!$A$13:$E$37,5,0)&amp;""</f>
      </c>
      <c r="F238" s="194"/>
      <c r="G238" s="30" t="str">
        <f>VLOOKUP($A238,Questions!$A$2:$X$333,21,0)&amp;""</f>
      </c>
      <c r="H238" s="184"/>
      <c r="I238" s="45" t="str">
        <f>VLOOKUP($A238,Questions!$A$2:$X$333,23,0)&amp;""</f>
      </c>
      <c r="J238" s="184"/>
      <c r="K238" s="48" t="b">
        <v>0</v>
      </c>
      <c r="L238" s="1"/>
    </row>
    <row r="239" spans="1:12" s="29" customFormat="1" ht="68" x14ac:dyDescent="0.15">
      <c r="A239" s="19" t="str">
        <f>'IT Accessibility'!$A$32</f>
      </c>
      <c r="B239" s="20">
        <f>VLOOKUP($A239,'IT Accessibility'!$A$13:$E$37,2,0)&amp;""</f>
      </c>
      <c r="C239" s="45">
        <f>VLOOKUP($A239,'IT Accessibility'!$A$13:$E$37,3,0)&amp;""</f>
      </c>
      <c r="D239" s="34">
        <f>IF(LEFT(VLOOKUP($A239,'IT Accessibility'!$A$13:$E$37,5,0),21)='Auto Responses'!$A$32,'Auto Responses'!$A$33,VLOOKUP($A239,'IT Accessibility'!$A$13:$E$37,4,0))&amp;""</f>
      </c>
      <c r="E239" s="326">
        <f>VLOOKUP($A239,'IT Accessibility'!$A$13:$E$37,5,0)&amp;""</f>
      </c>
      <c r="F239" s="194"/>
      <c r="G239" s="30" t="str">
        <f>VLOOKUP($A239,Questions!$A$2:$X$333,21,0)&amp;""</f>
      </c>
      <c r="H239" s="184"/>
      <c r="I239" s="45" t="str">
        <f>VLOOKUP($A239,Questions!$A$2:$X$333,23,0)&amp;""</f>
      </c>
      <c r="J239" s="184"/>
      <c r="K239" s="48" t="b">
        <v>0</v>
      </c>
      <c r="L239" s="1"/>
    </row>
    <row r="240" spans="1:12" s="29" customFormat="1" ht="68" x14ac:dyDescent="0.15">
      <c r="A240" s="19" t="str">
        <f>'IT Accessibility'!$A$33</f>
      </c>
      <c r="B240" s="20">
        <f>VLOOKUP($A240,'IT Accessibility'!$A$13:$E$37,2,0)&amp;""</f>
      </c>
      <c r="C240" s="45">
        <f>VLOOKUP($A240,'IT Accessibility'!$A$13:$E$37,3,0)&amp;""</f>
      </c>
      <c r="D240" s="34">
        <f>IF(LEFT(VLOOKUP($A240,'IT Accessibility'!$A$13:$E$37,5,0),21)='Auto Responses'!$A$32,'Auto Responses'!$A$33,VLOOKUP($A240,'IT Accessibility'!$A$13:$E$37,4,0))&amp;""</f>
      </c>
      <c r="E240" s="326">
        <f>VLOOKUP($A240,'IT Accessibility'!$A$13:$E$37,5,0)&amp;""</f>
      </c>
      <c r="F240" s="194"/>
      <c r="G240" s="30" t="str">
        <f>VLOOKUP($A240,Questions!$A$2:$X$333,21,0)&amp;""</f>
      </c>
      <c r="H240" s="184"/>
      <c r="I240" s="45" t="str">
        <f>VLOOKUP($A240,Questions!$A$2:$X$333,23,0)&amp;""</f>
      </c>
      <c r="J240" s="184"/>
      <c r="K240" s="48" t="b">
        <v>0</v>
      </c>
      <c r="L240" s="1"/>
    </row>
    <row r="241" spans="1:12" s="29" customFormat="1" ht="221" x14ac:dyDescent="0.15">
      <c r="A241" s="19" t="str">
        <f>'IT Accessibility'!$A$34</f>
      </c>
      <c r="B241" s="20">
        <f>VLOOKUP($A241,'IT Accessibility'!$A$13:$E$37,2,0)&amp;""</f>
      </c>
      <c r="C241" s="45">
        <f>VLOOKUP($A241,'IT Accessibility'!$A$13:$E$37,3,0)&amp;""</f>
      </c>
      <c r="D241" s="34">
        <f>IF(LEFT(VLOOKUP($A241,'IT Accessibility'!$A$13:$E$37,5,0),21)='Auto Responses'!$A$32,'Auto Responses'!$A$33,VLOOKUP($A241,'IT Accessibility'!$A$13:$E$37,4,0))&amp;""</f>
      </c>
      <c r="E241" s="326">
        <f>VLOOKUP($A241,'IT Accessibility'!$A$13:$E$37,5,0)&amp;""</f>
      </c>
      <c r="F241" s="194"/>
      <c r="G241" s="30" t="str">
        <f>VLOOKUP($A241,Questions!$A$2:$X$333,21,0)&amp;""</f>
      </c>
      <c r="H241" s="184"/>
      <c r="I241" s="45" t="str">
        <f>VLOOKUP($A241,Questions!$A$2:$X$333,23,0)&amp;""</f>
      </c>
      <c r="J241" s="184"/>
      <c r="K241" s="48" t="b">
        <v>0</v>
      </c>
      <c r="L241" s="1"/>
    </row>
    <row r="242" spans="1:12" s="29" customFormat="1" ht="68" x14ac:dyDescent="0.15">
      <c r="A242" s="19" t="str">
        <f>'IT Accessibility'!$A$35</f>
      </c>
      <c r="B242" s="20">
        <f>VLOOKUP($A242,'IT Accessibility'!$A$13:$E$37,2,0)&amp;""</f>
      </c>
      <c r="C242" s="45">
        <f>VLOOKUP($A242,'IT Accessibility'!$A$13:$E$37,3,0)&amp;""</f>
      </c>
      <c r="D242" s="34">
        <f>IF(LEFT(VLOOKUP($A242,'IT Accessibility'!$A$13:$E$37,5,0),21)='Auto Responses'!$A$32,'Auto Responses'!$A$33,VLOOKUP($A242,'IT Accessibility'!$A$13:$E$37,4,0))&amp;""</f>
      </c>
      <c r="E242" s="326">
        <f>VLOOKUP($A242,'IT Accessibility'!$A$13:$E$37,5,0)&amp;""</f>
      </c>
      <c r="F242" s="194"/>
      <c r="G242" s="30" t="str">
        <f>VLOOKUP($A242,Questions!$A$2:$X$333,21,0)&amp;""</f>
      </c>
      <c r="H242" s="184"/>
      <c r="I242" s="45" t="str">
        <f>VLOOKUP($A242,Questions!$A$2:$X$333,23,0)&amp;""</f>
      </c>
      <c r="J242" s="184"/>
      <c r="K242" s="48" t="b">
        <v>0</v>
      </c>
      <c r="L242" s="1"/>
    </row>
    <row r="243" spans="1:12" s="29" customFormat="1" ht="102" x14ac:dyDescent="0.15">
      <c r="A243" s="19" t="str">
        <f>'IT Accessibility'!$A$36</f>
      </c>
      <c r="B243" s="20">
        <f>VLOOKUP($A243,'IT Accessibility'!$A$13:$E$37,2,0)&amp;""</f>
      </c>
      <c r="C243" s="45">
        <f>VLOOKUP($A243,'IT Accessibility'!$A$13:$E$37,3,0)&amp;""</f>
      </c>
      <c r="D243" s="34">
        <f>IF(LEFT(VLOOKUP($A243,'IT Accessibility'!$A$13:$E$37,5,0),21)='Auto Responses'!$A$32,'Auto Responses'!$A$33,VLOOKUP($A243,'IT Accessibility'!$A$13:$E$37,4,0))&amp;""</f>
      </c>
      <c r="E243" s="326">
        <f>VLOOKUP($A243,'IT Accessibility'!$A$13:$E$37,5,0)&amp;""</f>
      </c>
      <c r="F243" s="194"/>
      <c r="G243" s="30" t="str">
        <f>VLOOKUP($A243,Questions!$A$2:$X$333,21,0)&amp;""</f>
      </c>
      <c r="H243" s="184"/>
      <c r="I243" s="45" t="str">
        <f>VLOOKUP($A243,Questions!$A$2:$X$333,23,0)&amp;""</f>
      </c>
      <c r="J243" s="184"/>
      <c r="K243" s="48" t="b">
        <v>0</v>
      </c>
      <c r="L243" s="1"/>
    </row>
    <row r="244" spans="1:12" s="29" customFormat="1" ht="239" thickBot="1" x14ac:dyDescent="0.2">
      <c r="A244" s="19" t="str">
        <f>'IT Accessibility'!$A$37</f>
      </c>
      <c r="B244" s="20">
        <f>VLOOKUP($A244,'IT Accessibility'!$A$13:$E$37,2,0)&amp;""</f>
      </c>
      <c r="C244" s="45">
        <f>VLOOKUP($A244,'IT Accessibility'!$A$13:$E$37,3,0)&amp;""</f>
      </c>
      <c r="D244" s="34">
        <f>IF(LEFT(VLOOKUP($A244,'IT Accessibility'!$A$13:$E$37,5,0),21)='Auto Responses'!$A$32,'Auto Responses'!$A$33,VLOOKUP($A244,'IT Accessibility'!$A$13:$E$37,4,0))&amp;""</f>
      </c>
      <c r="E244" s="326">
        <f>VLOOKUP($A244,'IT Accessibility'!$A$13:$E$37,5,0)&amp;""</f>
      </c>
      <c r="F244" s="194"/>
      <c r="G244" s="30" t="str">
        <f>VLOOKUP($A244,Questions!$A$2:$X$333,21,0)&amp;""</f>
      </c>
      <c r="H244" s="184"/>
      <c r="I244" s="45" t="str">
        <f>VLOOKUP($A244,Questions!$A$2:$X$333,23,0)&amp;""</f>
      </c>
      <c r="J244" s="184"/>
      <c r="K244" s="49" t="b">
        <v>0</v>
      </c>
      <c r="L244" s="1"/>
    </row>
    <row r="245" spans="1:12" s="1" customFormat="1" ht="18" x14ac:dyDescent="0.15">
      <c r="A245" s="63" t="str">
        <f>VLOOKUP(LEFT($A246,4),'Auto Responses'!$N$4:$O$38,2,0)&amp;""</f>
        <v xml:space="preserve"> Consulting Services</v>
      </c>
      <c r="B245" s="22"/>
      <c r="C245" s="31"/>
      <c r="D245" s="31"/>
      <c r="E245" s="324"/>
      <c r="F245" s="361" t="s">
        <v>1030</v>
      </c>
      <c r="G245" s="328" t="s">
        <v>869</v>
      </c>
      <c r="H245" s="328" t="s">
        <v>871</v>
      </c>
      <c r="I245" s="328" t="s">
        <v>19</v>
      </c>
      <c r="J245" s="328" t="s">
        <v>856</v>
      </c>
      <c r="K245" s="328" t="s">
        <v>867</v>
      </c>
    </row>
    <row r="246" spans="1:12" s="29" customFormat="1" ht="102" x14ac:dyDescent="0.15">
      <c r="A246" s="19">
        <f>'Case-Specific'!$A$23</f>
      </c>
      <c r="B246" s="20">
        <f>VLOOKUP($A246,'Case-Specific'!$A$13:$E$85,2,0)&amp;""</f>
      </c>
      <c r="C246" s="45">
        <f>VLOOKUP($A246,'Case-Specific'!$A$13:$E$85,3,0)&amp;""</f>
      </c>
      <c r="D246" s="34">
        <f>IF(LEFT(VLOOKUP($A246,'Case-Specific'!$A$13:$E$85,5,0),21)='Auto Responses'!$A$32,'Auto Responses'!$A$33,VLOOKUP($A246,'Case-Specific'!$A$13:$E$85,4,0))&amp;""</f>
      </c>
      <c r="E246" s="323">
        <f>VLOOKUP($A246,'Case-Specific'!$A$13:$E$85,5,0)&amp;""</f>
      </c>
      <c r="F246" s="194"/>
      <c r="G246" s="30" t="str">
        <f>VLOOKUP($A246,Questions!$A$2:$X$333,21,0)&amp;""</f>
      </c>
      <c r="H246" s="184"/>
      <c r="I246" s="45" t="str">
        <f>VLOOKUP($A246,Questions!$A$2:$X$333,23,0)&amp;""</f>
      </c>
      <c r="J246" s="184"/>
      <c r="K246" s="48" t="b">
        <v>0</v>
      </c>
      <c r="L246" s="1"/>
    </row>
    <row r="247" spans="1:12" s="29" customFormat="1" ht="102" x14ac:dyDescent="0.15">
      <c r="A247" s="19" t="str">
        <f>'Case-Specific'!$A$24</f>
      </c>
      <c r="B247" s="20">
        <f>VLOOKUP($A247,'Case-Specific'!$A$13:$E$85,2,0)&amp;""</f>
      </c>
      <c r="C247" s="45">
        <f>VLOOKUP($A247,'Case-Specific'!$A$13:$E$85,3,0)&amp;""</f>
      </c>
      <c r="D247" s="34">
        <f>IF(LEFT(VLOOKUP($A247,'Case-Specific'!$A$13:$E$85,5,0),21)='Auto Responses'!$A$32,'Auto Responses'!$A$33,VLOOKUP($A247,'Case-Specific'!$A$13:$E$85,4,0))&amp;""</f>
      </c>
      <c r="E247" s="323">
        <f>VLOOKUP($A247,'Case-Specific'!$A$13:$E$85,5,0)&amp;""</f>
      </c>
      <c r="F247" s="194"/>
      <c r="G247" s="30" t="str">
        <f>VLOOKUP($A247,Questions!$A$2:$X$333,21,0)&amp;""</f>
      </c>
      <c r="H247" s="184"/>
      <c r="I247" s="45" t="str">
        <f>VLOOKUP($A247,Questions!$A$2:$X$333,23,0)&amp;""</f>
      </c>
      <c r="J247" s="184"/>
      <c r="K247" s="48" t="b">
        <v>0</v>
      </c>
      <c r="L247" s="1"/>
    </row>
    <row r="248" spans="1:12" s="29" customFormat="1" ht="102" x14ac:dyDescent="0.15">
      <c r="A248" s="19" t="str">
        <f>'Case-Specific'!$A$25</f>
      </c>
      <c r="B248" s="20">
        <f>VLOOKUP($A248,'Case-Specific'!$A$13:$E$85,2,0)&amp;""</f>
      </c>
      <c r="C248" s="45">
        <f>VLOOKUP($A248,'Case-Specific'!$A$13:$E$85,3,0)&amp;""</f>
      </c>
      <c r="D248" s="34">
        <f>IF(LEFT(VLOOKUP($A248,'Case-Specific'!$A$13:$E$85,5,0),21)='Auto Responses'!$A$32,'Auto Responses'!$A$33,VLOOKUP($A248,'Case-Specific'!$A$13:$E$85,4,0))&amp;""</f>
      </c>
      <c r="E248" s="323">
        <f>VLOOKUP($A248,'Case-Specific'!$A$13:$E$85,5,0)&amp;""</f>
      </c>
      <c r="F248" s="194"/>
      <c r="G248" s="30" t="str">
        <f>VLOOKUP($A248,Questions!$A$2:$X$333,21,0)&amp;""</f>
      </c>
      <c r="H248" s="184"/>
      <c r="I248" s="45" t="str">
        <f>VLOOKUP($A248,Questions!$A$2:$X$333,23,0)&amp;""</f>
      </c>
      <c r="J248" s="184"/>
      <c r="K248" s="48" t="b">
        <v>0</v>
      </c>
      <c r="L248" s="1"/>
    </row>
    <row r="249" spans="1:12" s="29" customFormat="1" ht="102" x14ac:dyDescent="0.15">
      <c r="A249" s="19" t="str">
        <f>'Case-Specific'!A26</f>
      </c>
      <c r="B249" s="20">
        <f>VLOOKUP($A249,'Case-Specific'!$A$13:$E$85,2,0)&amp;""</f>
      </c>
      <c r="C249" s="45">
        <f>VLOOKUP($A249,'Case-Specific'!$A$13:$E$85,3,0)&amp;""</f>
      </c>
      <c r="D249" s="34">
        <f>IF(LEFT(VLOOKUP($A249,'Case-Specific'!$A$13:$E$85,5,0),21)='Auto Responses'!$A$32,'Auto Responses'!$A$33,VLOOKUP($A249,'Case-Specific'!$A$13:$E$85,4,0))&amp;""</f>
      </c>
      <c r="E249" s="323">
        <f>VLOOKUP($A249,'Case-Specific'!$A$13:$E$85,5,0)&amp;""</f>
      </c>
      <c r="F249" s="194"/>
      <c r="G249" s="30" t="str">
        <f>VLOOKUP($A249,Questions!$A$2:$X$333,21,0)&amp;""</f>
      </c>
      <c r="H249" s="184"/>
      <c r="I249" s="45" t="str">
        <f>VLOOKUP($A249,Questions!$A$2:$X$333,23,0)&amp;""</f>
      </c>
      <c r="J249" s="184"/>
      <c r="K249" s="48" t="b">
        <v>0</v>
      </c>
      <c r="L249" s="1"/>
    </row>
    <row r="250" spans="1:12" s="29" customFormat="1" ht="102" x14ac:dyDescent="0.15">
      <c r="A250" s="19" t="str">
        <f>'Case-Specific'!A27</f>
      </c>
      <c r="B250" s="20">
        <f>VLOOKUP($A250,'Case-Specific'!$A$13:$E$85,2,0)&amp;""</f>
      </c>
      <c r="C250" s="45">
        <f>VLOOKUP($A250,'Case-Specific'!$A$13:$E$85,3,0)&amp;""</f>
      </c>
      <c r="D250" s="34">
        <f>IF(LEFT(VLOOKUP($A250,'Case-Specific'!$A$13:$E$85,5,0),21)='Auto Responses'!$A$32,'Auto Responses'!$A$33,VLOOKUP($A250,'Case-Specific'!$A$13:$E$85,4,0))&amp;""</f>
      </c>
      <c r="E250" s="323">
        <f>VLOOKUP($A250,'Case-Specific'!$A$13:$E$85,5,0)&amp;""</f>
      </c>
      <c r="F250" s="194"/>
      <c r="G250" s="30" t="str">
        <f>VLOOKUP($A250,Questions!$A$2:$X$333,21,0)&amp;""</f>
      </c>
      <c r="H250" s="184"/>
      <c r="I250" s="45" t="str">
        <f>VLOOKUP($A250,Questions!$A$2:$X$333,23,0)&amp;""</f>
      </c>
      <c r="J250" s="184"/>
      <c r="K250" s="48" t="b">
        <v>0</v>
      </c>
      <c r="L250" s="1"/>
    </row>
    <row r="251" spans="1:12" s="29" customFormat="1" ht="102" x14ac:dyDescent="0.15">
      <c r="A251" s="19" t="str">
        <f>'Case-Specific'!A28</f>
      </c>
      <c r="B251" s="20">
        <f>VLOOKUP($A251,'Case-Specific'!$A$13:$E$85,2,0)&amp;""</f>
      </c>
      <c r="C251" s="45">
        <f>VLOOKUP($A251,'Case-Specific'!$A$13:$E$85,3,0)&amp;""</f>
      </c>
      <c r="D251" s="34">
        <f>IF(LEFT(VLOOKUP($A251,'Case-Specific'!$A$13:$E$85,5,0),21)='Auto Responses'!$A$32,'Auto Responses'!$A$33,VLOOKUP($A251,'Case-Specific'!$A$13:$E$85,4,0))&amp;""</f>
      </c>
      <c r="E251" s="323">
        <f>VLOOKUP($A251,'Case-Specific'!$A$13:$E$85,5,0)&amp;""</f>
      </c>
      <c r="F251" s="194"/>
      <c r="G251" s="30" t="str">
        <f>VLOOKUP($A251,Questions!$A$2:$X$333,21,0)&amp;""</f>
      </c>
      <c r="H251" s="184"/>
      <c r="I251" s="45" t="str">
        <f>VLOOKUP($A251,Questions!$A$2:$X$333,23,0)&amp;""</f>
      </c>
      <c r="J251" s="184"/>
      <c r="K251" s="48" t="b">
        <v>0</v>
      </c>
      <c r="L251" s="1"/>
    </row>
    <row r="252" spans="1:12" s="29" customFormat="1" ht="102" x14ac:dyDescent="0.15">
      <c r="A252" s="19" t="str">
        <f>'Case-Specific'!A29</f>
      </c>
      <c r="B252" s="20">
        <f>VLOOKUP($A252,'Case-Specific'!$A$13:$E$85,2,0)&amp;""</f>
      </c>
      <c r="C252" s="45">
        <f>VLOOKUP($A252,'Case-Specific'!$A$13:$E$85,3,0)&amp;""</f>
      </c>
      <c r="D252" s="34">
        <f>IF(LEFT(VLOOKUP($A252,'Case-Specific'!$A$13:$E$85,5,0),21)='Auto Responses'!$A$32,'Auto Responses'!$A$33,VLOOKUP($A252,'Case-Specific'!$A$13:$E$85,4,0))&amp;""</f>
      </c>
      <c r="E252" s="323">
        <f>VLOOKUP($A252,'Case-Specific'!$A$13:$E$85,5,0)&amp;""</f>
      </c>
      <c r="F252" s="194"/>
      <c r="G252" s="30" t="str">
        <f>VLOOKUP($A252,Questions!$A$2:$X$333,21,0)&amp;""</f>
      </c>
      <c r="H252" s="184"/>
      <c r="I252" s="45" t="str">
        <f>VLOOKUP($A252,Questions!$A$2:$X$333,23,0)&amp;""</f>
      </c>
      <c r="J252" s="184"/>
      <c r="K252" s="48" t="b">
        <v>0</v>
      </c>
      <c r="L252" s="1"/>
    </row>
    <row r="253" spans="1:12" s="29" customFormat="1" ht="102" x14ac:dyDescent="0.15">
      <c r="A253" s="19" t="str">
        <f>'Case-Specific'!A30</f>
      </c>
      <c r="B253" s="20">
        <f>VLOOKUP($A253,'Case-Specific'!$A$13:$E$85,2,0)&amp;""</f>
      </c>
      <c r="C253" s="45">
        <f>VLOOKUP($A253,'Case-Specific'!$A$13:$E$85,3,0)&amp;""</f>
      </c>
      <c r="D253" s="34">
        <f>IF(LEFT(VLOOKUP($A253,'Case-Specific'!$A$13:$E$85,5,0),21)='Auto Responses'!$A$32,'Auto Responses'!$A$33,VLOOKUP($A253,'Case-Specific'!$A$13:$E$85,4,0))&amp;""</f>
      </c>
      <c r="E253" s="323">
        <f>VLOOKUP($A253,'Case-Specific'!$A$13:$E$85,5,0)&amp;""</f>
      </c>
      <c r="F253" s="194"/>
      <c r="G253" s="30" t="str">
        <f>VLOOKUP($A253,Questions!$A$2:$X$333,21,0)&amp;""</f>
      </c>
      <c r="H253" s="184"/>
      <c r="I253" s="45" t="str">
        <f>VLOOKUP($A253,Questions!$A$2:$X$333,23,0)&amp;""</f>
      </c>
      <c r="J253" s="184"/>
      <c r="K253" s="48" t="b">
        <v>0</v>
      </c>
      <c r="L253" s="1"/>
    </row>
    <row r="254" spans="1:12" s="29" customFormat="1" ht="102" x14ac:dyDescent="0.15">
      <c r="A254" s="19" t="str">
        <f>'Case-Specific'!A31</f>
      </c>
      <c r="B254" s="20">
        <f>VLOOKUP($A254,'Case-Specific'!$A$13:$E$85,2,0)&amp;""</f>
      </c>
      <c r="C254" s="45">
        <f>VLOOKUP($A254,'Case-Specific'!$A$13:$E$85,3,0)&amp;""</f>
      </c>
      <c r="D254" s="34">
        <f>IF(LEFT(VLOOKUP($A254,'Case-Specific'!$A$13:$E$85,5,0),21)='Auto Responses'!$A$32,'Auto Responses'!$A$33,VLOOKUP($A254,'Case-Specific'!$A$13:$E$85,4,0))&amp;""</f>
      </c>
      <c r="E254" s="323">
        <f>VLOOKUP($A254,'Case-Specific'!$A$13:$E$85,5,0)&amp;""</f>
      </c>
      <c r="F254" s="194"/>
      <c r="G254" s="30" t="str">
        <f>VLOOKUP($A254,Questions!$A$2:$X$333,21,0)&amp;""</f>
      </c>
      <c r="H254" s="184"/>
      <c r="I254" s="45" t="str">
        <f>VLOOKUP($A254,Questions!$A$2:$X$333,23,0)&amp;""</f>
      </c>
      <c r="J254" s="184"/>
      <c r="K254" s="48" t="b">
        <v>0</v>
      </c>
      <c r="L254" s="1"/>
    </row>
    <row r="255" spans="1:12" s="1" customFormat="1" ht="18" x14ac:dyDescent="0.15">
      <c r="A255" s="63" t="str">
        <f>VLOOKUP(LEFT($A256,4),'Auto Responses'!$N$4:$O$38,2,0)&amp;""</f>
        <v xml:space="preserve">HIPAA Compliance </v>
      </c>
      <c r="B255" s="22"/>
      <c r="C255" s="31"/>
      <c r="D255" s="31"/>
      <c r="E255" s="324"/>
      <c r="F255" s="361" t="s">
        <v>1030</v>
      </c>
      <c r="G255" s="328" t="s">
        <v>869</v>
      </c>
      <c r="H255" s="328" t="s">
        <v>871</v>
      </c>
      <c r="I255" s="328" t="s">
        <v>19</v>
      </c>
      <c r="J255" s="328" t="s">
        <v>856</v>
      </c>
      <c r="K255" s="328" t="s">
        <v>867</v>
      </c>
    </row>
    <row r="256" spans="1:12" s="29" customFormat="1" ht="102" x14ac:dyDescent="0.15">
      <c r="A256" s="19">
        <f>'Case-Specific'!A33</f>
      </c>
      <c r="B256" s="20">
        <f>VLOOKUP($A256,'Case-Specific'!$A$13:$E$85,2,0)&amp;""</f>
      </c>
      <c r="C256" s="45">
        <f>VLOOKUP($A256,'Case-Specific'!$A$13:$E$85,3,0)&amp;""</f>
      </c>
      <c r="D256" s="34">
        <f>IF(LEFT(VLOOKUP($A256,'Case-Specific'!$A$13:$E$85,5,0),21)='Auto Responses'!$A$32,'Auto Responses'!$A$33,VLOOKUP($A256,'Case-Specific'!$A$13:$E$85,4,0))&amp;""</f>
      </c>
      <c r="E256" s="323">
        <f>VLOOKUP($A256,'Case-Specific'!$A$13:$E$85,5,0)&amp;""</f>
      </c>
      <c r="F256" s="194"/>
      <c r="G256" s="30" t="str">
        <f>VLOOKUP($A256,Questions!$A$2:$X$333,21,0)&amp;""</f>
      </c>
      <c r="H256" s="184"/>
      <c r="I256" s="45" t="str">
        <f>VLOOKUP($A256,Questions!$A$2:$X$333,23,0)&amp;""</f>
      </c>
      <c r="J256" s="184"/>
      <c r="K256" s="48" t="b">
        <v>0</v>
      </c>
      <c r="L256" s="1"/>
    </row>
    <row r="257" spans="1:12" s="29" customFormat="1" ht="102" x14ac:dyDescent="0.15">
      <c r="A257" s="19" t="str">
        <f>'Case-Specific'!A34</f>
      </c>
      <c r="B257" s="20">
        <f>VLOOKUP($A257,'Case-Specific'!$A$13:$E$85,2,0)&amp;""</f>
      </c>
      <c r="C257" s="45">
        <f>VLOOKUP($A257,'Case-Specific'!$A$13:$E$85,3,0)&amp;""</f>
      </c>
      <c r="D257" s="34">
        <f>IF(LEFT(VLOOKUP($A257,'Case-Specific'!$A$13:$E$85,5,0),21)='Auto Responses'!$A$32,'Auto Responses'!$A$33,VLOOKUP($A257,'Case-Specific'!$A$13:$E$85,4,0))&amp;""</f>
      </c>
      <c r="E257" s="323">
        <f>VLOOKUP($A257,'Case-Specific'!$A$13:$E$85,5,0)&amp;""</f>
      </c>
      <c r="F257" s="194"/>
      <c r="G257" s="30" t="str">
        <f>VLOOKUP($A257,Questions!$A$2:$X$333,21,0)&amp;""</f>
      </c>
      <c r="H257" s="184"/>
      <c r="I257" s="45" t="str">
        <f>VLOOKUP($A257,Questions!$A$2:$X$333,23,0)&amp;""</f>
      </c>
      <c r="J257" s="184"/>
      <c r="K257" s="48" t="b">
        <v>0</v>
      </c>
      <c r="L257" s="1"/>
    </row>
    <row r="258" spans="1:12" s="29" customFormat="1" ht="102" x14ac:dyDescent="0.15">
      <c r="A258" s="19" t="str">
        <f>'Case-Specific'!A35</f>
      </c>
      <c r="B258" s="20">
        <f>VLOOKUP($A258,'Case-Specific'!$A$13:$E$85,2,0)&amp;""</f>
      </c>
      <c r="C258" s="45">
        <f>VLOOKUP($A258,'Case-Specific'!$A$13:$E$85,3,0)&amp;""</f>
      </c>
      <c r="D258" s="34">
        <f>IF(LEFT(VLOOKUP($A258,'Case-Specific'!$A$13:$E$85,5,0),21)='Auto Responses'!$A$32,'Auto Responses'!$A$33,VLOOKUP($A258,'Case-Specific'!$A$13:$E$85,4,0))&amp;""</f>
      </c>
      <c r="E258" s="323">
        <f>VLOOKUP($A258,'Case-Specific'!$A$13:$E$85,5,0)&amp;""</f>
      </c>
      <c r="F258" s="194"/>
      <c r="G258" s="30" t="str">
        <f>VLOOKUP($A258,Questions!$A$2:$X$333,21,0)&amp;""</f>
      </c>
      <c r="H258" s="184"/>
      <c r="I258" s="45" t="str">
        <f>VLOOKUP($A258,Questions!$A$2:$X$333,23,0)&amp;""</f>
      </c>
      <c r="J258" s="184"/>
      <c r="K258" s="48" t="b">
        <v>0</v>
      </c>
      <c r="L258" s="1"/>
    </row>
    <row r="259" spans="1:12" s="29" customFormat="1" ht="102" x14ac:dyDescent="0.15">
      <c r="A259" s="19" t="str">
        <f>'Case-Specific'!A36</f>
      </c>
      <c r="B259" s="20">
        <f>VLOOKUP($A259,'Case-Specific'!$A$13:$E$85,2,0)&amp;""</f>
      </c>
      <c r="C259" s="45">
        <f>VLOOKUP($A259,'Case-Specific'!$A$13:$E$85,3,0)&amp;""</f>
      </c>
      <c r="D259" s="34">
        <f>IF(LEFT(VLOOKUP($A259,'Case-Specific'!$A$13:$E$85,5,0),21)='Auto Responses'!$A$32,'Auto Responses'!$A$33,VLOOKUP($A259,'Case-Specific'!$A$13:$E$85,4,0))&amp;""</f>
      </c>
      <c r="E259" s="323">
        <f>VLOOKUP($A259,'Case-Specific'!$A$13:$E$85,5,0)&amp;""</f>
      </c>
      <c r="F259" s="194"/>
      <c r="G259" s="30" t="str">
        <f>VLOOKUP($A259,Questions!$A$2:$X$333,21,0)&amp;""</f>
      </c>
      <c r="H259" s="184"/>
      <c r="I259" s="45" t="str">
        <f>VLOOKUP($A259,Questions!$A$2:$X$333,23,0)&amp;""</f>
      </c>
      <c r="J259" s="184"/>
      <c r="K259" s="48" t="b">
        <v>0</v>
      </c>
      <c r="L259" s="1"/>
    </row>
    <row r="260" spans="1:12" s="29" customFormat="1" ht="102" x14ac:dyDescent="0.15">
      <c r="A260" s="19" t="str">
        <f>'Case-Specific'!A37</f>
      </c>
      <c r="B260" s="20">
        <f>VLOOKUP($A260,'Case-Specific'!$A$13:$E$85,2,0)&amp;""</f>
      </c>
      <c r="C260" s="45">
        <f>VLOOKUP($A260,'Case-Specific'!$A$13:$E$85,3,0)&amp;""</f>
      </c>
      <c r="D260" s="34">
        <f>IF(LEFT(VLOOKUP($A260,'Case-Specific'!$A$13:$E$85,5,0),21)='Auto Responses'!$A$32,'Auto Responses'!$A$33,VLOOKUP($A260,'Case-Specific'!$A$13:$E$85,4,0))&amp;""</f>
      </c>
      <c r="E260" s="323">
        <f>VLOOKUP($A260,'Case-Specific'!$A$13:$E$85,5,0)&amp;""</f>
      </c>
      <c r="F260" s="194"/>
      <c r="G260" s="30" t="str">
        <f>VLOOKUP($A260,Questions!$A$2:$X$333,21,0)&amp;""</f>
      </c>
      <c r="H260" s="184"/>
      <c r="I260" s="45" t="str">
        <f>VLOOKUP($A260,Questions!$A$2:$X$333,23,0)&amp;""</f>
      </c>
      <c r="J260" s="184"/>
      <c r="K260" s="48" t="b">
        <v>0</v>
      </c>
      <c r="L260" s="1"/>
    </row>
    <row r="261" spans="1:12" s="29" customFormat="1" ht="102" x14ac:dyDescent="0.15">
      <c r="A261" s="19" t="str">
        <f>'Case-Specific'!A38</f>
      </c>
      <c r="B261" s="20">
        <f>VLOOKUP($A261,'Case-Specific'!$A$13:$E$85,2,0)&amp;""</f>
      </c>
      <c r="C261" s="45">
        <f>VLOOKUP($A261,'Case-Specific'!$A$13:$E$85,3,0)&amp;""</f>
      </c>
      <c r="D261" s="34">
        <f>IF(LEFT(VLOOKUP($A261,'Case-Specific'!$A$13:$E$85,5,0),21)='Auto Responses'!$A$32,'Auto Responses'!$A$33,VLOOKUP($A261,'Case-Specific'!$A$13:$E$85,4,0))&amp;""</f>
      </c>
      <c r="E261" s="323">
        <f>VLOOKUP($A261,'Case-Specific'!$A$13:$E$85,5,0)&amp;""</f>
      </c>
      <c r="F261" s="194"/>
      <c r="G261" s="30" t="str">
        <f>VLOOKUP($A261,Questions!$A$2:$X$333,21,0)&amp;""</f>
      </c>
      <c r="H261" s="184"/>
      <c r="I261" s="45" t="str">
        <f>VLOOKUP($A261,Questions!$A$2:$X$333,23,0)&amp;""</f>
      </c>
      <c r="J261" s="184"/>
      <c r="K261" s="48" t="b">
        <v>0</v>
      </c>
      <c r="L261" s="1"/>
    </row>
    <row r="262" spans="1:12" s="29" customFormat="1" ht="102" x14ac:dyDescent="0.15">
      <c r="A262" s="19" t="str">
        <f>'Case-Specific'!A39</f>
      </c>
      <c r="B262" s="20">
        <f>VLOOKUP($A262,'Case-Specific'!$A$13:$E$85,2,0)&amp;""</f>
      </c>
      <c r="C262" s="45">
        <f>VLOOKUP($A262,'Case-Specific'!$A$13:$E$85,3,0)&amp;""</f>
      </c>
      <c r="D262" s="34">
        <f>IF(LEFT(VLOOKUP($A262,'Case-Specific'!$A$13:$E$85,5,0),21)='Auto Responses'!$A$32,'Auto Responses'!$A$33,VLOOKUP($A262,'Case-Specific'!$A$13:$E$85,4,0))&amp;""</f>
      </c>
      <c r="E262" s="323">
        <f>VLOOKUP($A262,'Case-Specific'!$A$13:$E$85,5,0)&amp;""</f>
      </c>
      <c r="F262" s="194"/>
      <c r="G262" s="30" t="str">
        <f>VLOOKUP($A262,Questions!$A$2:$X$333,21,0)&amp;""</f>
      </c>
      <c r="H262" s="184"/>
      <c r="I262" s="45" t="str">
        <f>VLOOKUP($A262,Questions!$A$2:$X$333,23,0)&amp;""</f>
      </c>
      <c r="J262" s="184"/>
      <c r="K262" s="48" t="b">
        <v>0</v>
      </c>
      <c r="L262" s="1"/>
    </row>
    <row r="263" spans="1:12" s="29" customFormat="1" ht="102" x14ac:dyDescent="0.15">
      <c r="A263" s="19" t="str">
        <f>'Case-Specific'!A40</f>
      </c>
      <c r="B263" s="20">
        <f>VLOOKUP($A263,'Case-Specific'!$A$13:$E$85,2,0)&amp;""</f>
      </c>
      <c r="C263" s="45">
        <f>VLOOKUP($A263,'Case-Specific'!$A$13:$E$85,3,0)&amp;""</f>
      </c>
      <c r="D263" s="34">
        <f>IF(LEFT(VLOOKUP($A263,'Case-Specific'!$A$13:$E$85,5,0),21)='Auto Responses'!$A$32,'Auto Responses'!$A$33,VLOOKUP($A263,'Case-Specific'!$A$13:$E$85,4,0))&amp;""</f>
      </c>
      <c r="E263" s="323">
        <f>VLOOKUP($A263,'Case-Specific'!$A$13:$E$85,5,0)&amp;""</f>
      </c>
      <c r="F263" s="194"/>
      <c r="G263" s="30" t="str">
        <f>VLOOKUP($A263,Questions!$A$2:$X$333,21,0)&amp;""</f>
      </c>
      <c r="H263" s="184"/>
      <c r="I263" s="45" t="str">
        <f>VLOOKUP($A263,Questions!$A$2:$X$333,23,0)&amp;""</f>
      </c>
      <c r="J263" s="184"/>
      <c r="K263" s="48" t="b">
        <v>0</v>
      </c>
      <c r="L263" s="1"/>
    </row>
    <row r="264" spans="1:12" s="29" customFormat="1" ht="102" x14ac:dyDescent="0.15">
      <c r="A264" s="19" t="str">
        <f>'Case-Specific'!A41</f>
      </c>
      <c r="B264" s="20">
        <f>VLOOKUP($A264,'Case-Specific'!$A$13:$E$85,2,0)&amp;""</f>
      </c>
      <c r="C264" s="45">
        <f>VLOOKUP($A264,'Case-Specific'!$A$13:$E$85,3,0)&amp;""</f>
      </c>
      <c r="D264" s="34">
        <f>IF(LEFT(VLOOKUP($A264,'Case-Specific'!$A$13:$E$85,5,0),21)='Auto Responses'!$A$32,'Auto Responses'!$A$33,VLOOKUP($A264,'Case-Specific'!$A$13:$E$85,4,0))&amp;""</f>
      </c>
      <c r="E264" s="323">
        <f>VLOOKUP($A264,'Case-Specific'!$A$13:$E$85,5,0)&amp;""</f>
      </c>
      <c r="F264" s="194"/>
      <c r="G264" s="30" t="str">
        <f>VLOOKUP($A264,Questions!$A$2:$X$333,21,0)&amp;""</f>
      </c>
      <c r="H264" s="184"/>
      <c r="I264" s="45" t="str">
        <f>VLOOKUP($A264,Questions!$A$2:$X$333,23,0)&amp;""</f>
      </c>
      <c r="J264" s="184"/>
      <c r="K264" s="48" t="b">
        <v>0</v>
      </c>
      <c r="L264" s="1"/>
    </row>
    <row r="265" spans="1:12" s="29" customFormat="1" ht="102" x14ac:dyDescent="0.15">
      <c r="A265" s="19" t="str">
        <f>'Case-Specific'!A42</f>
      </c>
      <c r="B265" s="20">
        <f>VLOOKUP($A265,'Case-Specific'!$A$13:$E$85,2,0)&amp;""</f>
      </c>
      <c r="C265" s="45">
        <f>VLOOKUP($A265,'Case-Specific'!$A$13:$E$85,3,0)&amp;""</f>
      </c>
      <c r="D265" s="34">
        <f>IF(LEFT(VLOOKUP($A265,'Case-Specific'!$A$13:$E$85,5,0),21)='Auto Responses'!$A$32,'Auto Responses'!$A$33,VLOOKUP($A265,'Case-Specific'!$A$13:$E$85,4,0))&amp;""</f>
      </c>
      <c r="E265" s="323">
        <f>VLOOKUP($A265,'Case-Specific'!$A$13:$E$85,5,0)&amp;""</f>
      </c>
      <c r="F265" s="194"/>
      <c r="G265" s="30" t="str">
        <f>VLOOKUP($A265,Questions!$A$2:$X$333,21,0)&amp;""</f>
      </c>
      <c r="H265" s="184"/>
      <c r="I265" s="45" t="str">
        <f>VLOOKUP($A265,Questions!$A$2:$X$333,23,0)&amp;""</f>
      </c>
      <c r="J265" s="184"/>
      <c r="K265" s="48" t="b">
        <v>0</v>
      </c>
      <c r="L265" s="1"/>
    </row>
    <row r="266" spans="1:12" s="29" customFormat="1" ht="102" x14ac:dyDescent="0.15">
      <c r="A266" s="19" t="str">
        <f>'Case-Specific'!A43</f>
      </c>
      <c r="B266" s="20">
        <f>VLOOKUP($A266,'Case-Specific'!$A$13:$E$85,2,0)&amp;""</f>
      </c>
      <c r="C266" s="45">
        <f>VLOOKUP($A266,'Case-Specific'!$A$13:$E$85,3,0)&amp;""</f>
      </c>
      <c r="D266" s="34">
        <f>IF(LEFT(VLOOKUP($A266,'Case-Specific'!$A$13:$E$85,5,0),21)='Auto Responses'!$A$32,'Auto Responses'!$A$33,VLOOKUP($A266,'Case-Specific'!$A$13:$E$85,4,0))&amp;""</f>
      </c>
      <c r="E266" s="323">
        <f>VLOOKUP($A266,'Case-Specific'!$A$13:$E$85,5,0)&amp;""</f>
      </c>
      <c r="F266" s="194"/>
      <c r="G266" s="30" t="str">
        <f>VLOOKUP($A266,Questions!$A$2:$X$333,21,0)&amp;""</f>
      </c>
      <c r="H266" s="184"/>
      <c r="I266" s="45" t="str">
        <f>VLOOKUP($A266,Questions!$A$2:$X$333,23,0)&amp;""</f>
      </c>
      <c r="J266" s="184"/>
      <c r="K266" s="48" t="b">
        <v>0</v>
      </c>
      <c r="L266" s="1"/>
    </row>
    <row r="267" spans="1:12" s="29" customFormat="1" ht="102" x14ac:dyDescent="0.15">
      <c r="A267" s="19" t="str">
        <f>'Case-Specific'!A44</f>
      </c>
      <c r="B267" s="20">
        <f>VLOOKUP($A267,'Case-Specific'!$A$13:$E$85,2,0)&amp;""</f>
      </c>
      <c r="C267" s="45">
        <f>VLOOKUP($A267,'Case-Specific'!$A$13:$E$85,3,0)&amp;""</f>
      </c>
      <c r="D267" s="34">
        <f>IF(LEFT(VLOOKUP($A267,'Case-Specific'!$A$13:$E$85,5,0),21)='Auto Responses'!$A$32,'Auto Responses'!$A$33,VLOOKUP($A267,'Case-Specific'!$A$13:$E$85,4,0))&amp;""</f>
      </c>
      <c r="E267" s="323">
        <f>VLOOKUP($A267,'Case-Specific'!$A$13:$E$85,5,0)&amp;""</f>
      </c>
      <c r="F267" s="194"/>
      <c r="G267" s="30" t="str">
        <f>VLOOKUP($A267,Questions!$A$2:$X$333,21,0)&amp;""</f>
      </c>
      <c r="H267" s="184"/>
      <c r="I267" s="45" t="str">
        <f>VLOOKUP($A267,Questions!$A$2:$X$333,23,0)&amp;""</f>
      </c>
      <c r="J267" s="184"/>
      <c r="K267" s="48" t="b">
        <v>0</v>
      </c>
      <c r="L267" s="1"/>
    </row>
    <row r="268" spans="1:12" s="29" customFormat="1" ht="102" x14ac:dyDescent="0.15">
      <c r="A268" s="19" t="str">
        <f>'Case-Specific'!A45</f>
      </c>
      <c r="B268" s="20">
        <f>VLOOKUP($A268,'Case-Specific'!$A$13:$E$85,2,0)&amp;""</f>
      </c>
      <c r="C268" s="45">
        <f>VLOOKUP($A268,'Case-Specific'!$A$13:$E$85,3,0)&amp;""</f>
      </c>
      <c r="D268" s="34">
        <f>IF(LEFT(VLOOKUP($A268,'Case-Specific'!$A$13:$E$85,5,0),21)='Auto Responses'!$A$32,'Auto Responses'!$A$33,VLOOKUP($A268,'Case-Specific'!$A$13:$E$85,4,0))&amp;""</f>
      </c>
      <c r="E268" s="323">
        <f>VLOOKUP($A268,'Case-Specific'!$A$13:$E$85,5,0)&amp;""</f>
      </c>
      <c r="F268" s="194"/>
      <c r="G268" s="30" t="str">
        <f>VLOOKUP($A268,Questions!$A$2:$X$333,21,0)&amp;""</f>
      </c>
      <c r="H268" s="184"/>
      <c r="I268" s="45" t="str">
        <f>VLOOKUP($A268,Questions!$A$2:$X$333,23,0)&amp;""</f>
      </c>
      <c r="J268" s="184"/>
      <c r="K268" s="48" t="b">
        <v>0</v>
      </c>
      <c r="L268" s="1"/>
    </row>
    <row r="269" spans="1:12" s="29" customFormat="1" ht="102" x14ac:dyDescent="0.15">
      <c r="A269" s="19" t="str">
        <f>'Case-Specific'!A46</f>
      </c>
      <c r="B269" s="20">
        <f>VLOOKUP($A269,'Case-Specific'!$A$13:$E$85,2,0)&amp;""</f>
      </c>
      <c r="C269" s="45">
        <f>VLOOKUP($A269,'Case-Specific'!$A$13:$E$85,3,0)&amp;""</f>
      </c>
      <c r="D269" s="34">
        <f>IF(LEFT(VLOOKUP($A269,'Case-Specific'!$A$13:$E$85,5,0),21)='Auto Responses'!$A$32,'Auto Responses'!$A$33,VLOOKUP($A269,'Case-Specific'!$A$13:$E$85,4,0))&amp;""</f>
      </c>
      <c r="E269" s="323">
        <f>VLOOKUP($A269,'Case-Specific'!$A$13:$E$85,5,0)&amp;""</f>
      </c>
      <c r="F269" s="194"/>
      <c r="G269" s="30" t="str">
        <f>VLOOKUP($A269,Questions!$A$2:$X$333,21,0)&amp;""</f>
      </c>
      <c r="H269" s="184"/>
      <c r="I269" s="45" t="str">
        <f>VLOOKUP($A269,Questions!$A$2:$X$333,23,0)&amp;""</f>
      </c>
      <c r="J269" s="184"/>
      <c r="K269" s="48" t="b">
        <v>0</v>
      </c>
      <c r="L269" s="1"/>
    </row>
    <row r="270" spans="1:12" s="29" customFormat="1" ht="102" x14ac:dyDescent="0.15">
      <c r="A270" s="19" t="str">
        <f>'Case-Specific'!A47</f>
      </c>
      <c r="B270" s="20">
        <f>VLOOKUP($A270,'Case-Specific'!$A$13:$E$85,2,0)&amp;""</f>
      </c>
      <c r="C270" s="45">
        <f>VLOOKUP($A270,'Case-Specific'!$A$13:$E$85,3,0)&amp;""</f>
      </c>
      <c r="D270" s="34">
        <f>IF(LEFT(VLOOKUP($A270,'Case-Specific'!$A$13:$E$85,5,0),21)='Auto Responses'!$A$32,'Auto Responses'!$A$33,VLOOKUP($A270,'Case-Specific'!$A$13:$E$85,4,0))&amp;""</f>
      </c>
      <c r="E270" s="323">
        <f>VLOOKUP($A270,'Case-Specific'!$A$13:$E$85,5,0)&amp;""</f>
      </c>
      <c r="F270" s="194"/>
      <c r="G270" s="30" t="str">
        <f>VLOOKUP($A270,Questions!$A$2:$X$333,21,0)&amp;""</f>
      </c>
      <c r="H270" s="184"/>
      <c r="I270" s="45" t="str">
        <f>VLOOKUP($A270,Questions!$A$2:$X$333,23,0)&amp;""</f>
      </c>
      <c r="J270" s="184"/>
      <c r="K270" s="48" t="b">
        <v>0</v>
      </c>
      <c r="L270" s="1"/>
    </row>
    <row r="271" spans="1:12" s="29" customFormat="1" ht="102" x14ac:dyDescent="0.15">
      <c r="A271" s="19" t="str">
        <f>'Case-Specific'!A48</f>
      </c>
      <c r="B271" s="20">
        <f>VLOOKUP($A271,'Case-Specific'!$A$13:$E$85,2,0)&amp;""</f>
      </c>
      <c r="C271" s="45">
        <f>VLOOKUP($A271,'Case-Specific'!$A$13:$E$85,3,0)&amp;""</f>
      </c>
      <c r="D271" s="34">
        <f>IF(LEFT(VLOOKUP($A271,'Case-Specific'!$A$13:$E$85,5,0),21)='Auto Responses'!$A$32,'Auto Responses'!$A$33,VLOOKUP($A271,'Case-Specific'!$A$13:$E$85,4,0))&amp;""</f>
      </c>
      <c r="E271" s="323">
        <f>VLOOKUP($A271,'Case-Specific'!$A$13:$E$85,5,0)&amp;""</f>
      </c>
      <c r="F271" s="194"/>
      <c r="G271" s="30" t="str">
        <f>VLOOKUP($A271,Questions!$A$2:$X$333,21,0)&amp;""</f>
      </c>
      <c r="H271" s="184"/>
      <c r="I271" s="45" t="str">
        <f>VLOOKUP($A271,Questions!$A$2:$X$333,23,0)&amp;""</f>
      </c>
      <c r="J271" s="184"/>
      <c r="K271" s="48" t="b">
        <v>0</v>
      </c>
      <c r="L271" s="1"/>
    </row>
    <row r="272" spans="1:12" s="29" customFormat="1" ht="102" x14ac:dyDescent="0.15">
      <c r="A272" s="19" t="str">
        <f>'Case-Specific'!A49</f>
      </c>
      <c r="B272" s="20">
        <f>VLOOKUP($A272,'Case-Specific'!$A$13:$E$85,2,0)&amp;""</f>
      </c>
      <c r="C272" s="45">
        <f>VLOOKUP($A272,'Case-Specific'!$A$13:$E$85,3,0)&amp;""</f>
      </c>
      <c r="D272" s="34">
        <f>IF(LEFT(VLOOKUP($A272,'Case-Specific'!$A$13:$E$85,5,0),21)='Auto Responses'!$A$32,'Auto Responses'!$A$33,VLOOKUP($A272,'Case-Specific'!$A$13:$E$85,4,0))&amp;""</f>
      </c>
      <c r="E272" s="323">
        <f>VLOOKUP($A272,'Case-Specific'!$A$13:$E$85,5,0)&amp;""</f>
      </c>
      <c r="F272" s="194"/>
      <c r="G272" s="30" t="str">
        <f>VLOOKUP($A272,Questions!$A$2:$X$333,21,0)&amp;""</f>
      </c>
      <c r="H272" s="184"/>
      <c r="I272" s="45" t="str">
        <f>VLOOKUP($A272,Questions!$A$2:$X$333,23,0)&amp;""</f>
      </c>
      <c r="J272" s="184"/>
      <c r="K272" s="48" t="b">
        <v>0</v>
      </c>
      <c r="L272" s="1"/>
    </row>
    <row r="273" spans="1:12" s="29" customFormat="1" ht="102" x14ac:dyDescent="0.15">
      <c r="A273" s="19" t="str">
        <f>'Case-Specific'!A50</f>
      </c>
      <c r="B273" s="20">
        <f>VLOOKUP($A273,'Case-Specific'!$A$13:$E$85,2,0)&amp;""</f>
      </c>
      <c r="C273" s="45">
        <f>VLOOKUP($A273,'Case-Specific'!$A$13:$E$85,3,0)&amp;""</f>
      </c>
      <c r="D273" s="34">
        <f>IF(LEFT(VLOOKUP($A273,'Case-Specific'!$A$13:$E$85,5,0),21)='Auto Responses'!$A$32,'Auto Responses'!$A$33,VLOOKUP($A273,'Case-Specific'!$A$13:$E$85,4,0))&amp;""</f>
      </c>
      <c r="E273" s="323">
        <f>VLOOKUP($A273,'Case-Specific'!$A$13:$E$85,5,0)&amp;""</f>
      </c>
      <c r="F273" s="194"/>
      <c r="G273" s="30" t="str">
        <f>VLOOKUP($A273,Questions!$A$2:$X$333,21,0)&amp;""</f>
      </c>
      <c r="H273" s="184"/>
      <c r="I273" s="45" t="str">
        <f>VLOOKUP($A273,Questions!$A$2:$X$333,23,0)&amp;""</f>
      </c>
      <c r="J273" s="184"/>
      <c r="K273" s="48" t="b">
        <v>0</v>
      </c>
      <c r="L273" s="1"/>
    </row>
    <row r="274" spans="1:12" s="29" customFormat="1" ht="102" x14ac:dyDescent="0.15">
      <c r="A274" s="19" t="str">
        <f>'Case-Specific'!A51</f>
      </c>
      <c r="B274" s="20">
        <f>VLOOKUP($A274,'Case-Specific'!$A$13:$E$85,2,0)&amp;""</f>
      </c>
      <c r="C274" s="45">
        <f>VLOOKUP($A274,'Case-Specific'!$A$13:$E$85,3,0)&amp;""</f>
      </c>
      <c r="D274" s="34">
        <f>IF(LEFT(VLOOKUP($A274,'Case-Specific'!$A$13:$E$85,5,0),21)='Auto Responses'!$A$32,'Auto Responses'!$A$33,VLOOKUP($A274,'Case-Specific'!$A$13:$E$85,4,0))&amp;""</f>
      </c>
      <c r="E274" s="323">
        <f>VLOOKUP($A274,'Case-Specific'!$A$13:$E$85,5,0)&amp;""</f>
      </c>
      <c r="F274" s="194"/>
      <c r="G274" s="30" t="str">
        <f>VLOOKUP($A274,Questions!$A$2:$X$333,21,0)&amp;""</f>
      </c>
      <c r="H274" s="184"/>
      <c r="I274" s="45" t="str">
        <f>VLOOKUP($A274,Questions!$A$2:$X$333,23,0)&amp;""</f>
      </c>
      <c r="J274" s="184"/>
      <c r="K274" s="48" t="b">
        <v>0</v>
      </c>
      <c r="L274" s="1"/>
    </row>
    <row r="275" spans="1:12" s="29" customFormat="1" ht="102" x14ac:dyDescent="0.15">
      <c r="A275" s="19" t="str">
        <f>'Case-Specific'!A52</f>
      </c>
      <c r="B275" s="20">
        <f>VLOOKUP($A275,'Case-Specific'!$A$13:$E$85,2,0)&amp;""</f>
      </c>
      <c r="C275" s="45">
        <f>VLOOKUP($A275,'Case-Specific'!$A$13:$E$85,3,0)&amp;""</f>
      </c>
      <c r="D275" s="34">
        <f>IF(LEFT(VLOOKUP($A275,'Case-Specific'!$A$13:$E$85,5,0),21)='Auto Responses'!$A$32,'Auto Responses'!$A$33,VLOOKUP($A275,'Case-Specific'!$A$13:$E$85,4,0))&amp;""</f>
      </c>
      <c r="E275" s="323">
        <f>VLOOKUP($A275,'Case-Specific'!$A$13:$E$85,5,0)&amp;""</f>
      </c>
      <c r="F275" s="194"/>
      <c r="G275" s="30" t="str">
        <f>VLOOKUP($A275,Questions!$A$2:$X$333,21,0)&amp;""</f>
      </c>
      <c r="H275" s="184"/>
      <c r="I275" s="45" t="str">
        <f>VLOOKUP($A275,Questions!$A$2:$X$333,23,0)&amp;""</f>
      </c>
      <c r="J275" s="184"/>
      <c r="K275" s="48" t="b">
        <v>0</v>
      </c>
      <c r="L275" s="1"/>
    </row>
    <row r="276" spans="1:12" s="29" customFormat="1" ht="102" x14ac:dyDescent="0.15">
      <c r="A276" s="19" t="str">
        <f>'Case-Specific'!A53</f>
      </c>
      <c r="B276" s="20">
        <f>VLOOKUP($A276,'Case-Specific'!$A$13:$E$85,2,0)&amp;""</f>
      </c>
      <c r="C276" s="45">
        <f>VLOOKUP($A276,'Case-Specific'!$A$13:$E$85,3,0)&amp;""</f>
      </c>
      <c r="D276" s="34">
        <f>IF(LEFT(VLOOKUP($A276,'Case-Specific'!$A$13:$E$85,5,0),21)='Auto Responses'!$A$32,'Auto Responses'!$A$33,VLOOKUP($A276,'Case-Specific'!$A$13:$E$85,4,0))&amp;""</f>
      </c>
      <c r="E276" s="323">
        <f>VLOOKUP($A276,'Case-Specific'!$A$13:$E$85,5,0)&amp;""</f>
      </c>
      <c r="F276" s="194"/>
      <c r="G276" s="30" t="str">
        <f>VLOOKUP($A276,Questions!$A$2:$X$333,21,0)&amp;""</f>
      </c>
      <c r="H276" s="184"/>
      <c r="I276" s="45" t="str">
        <f>VLOOKUP($A276,Questions!$A$2:$X$333,23,0)&amp;""</f>
      </c>
      <c r="J276" s="184"/>
      <c r="K276" s="48" t="b">
        <v>0</v>
      </c>
      <c r="L276" s="1"/>
    </row>
    <row r="277" spans="1:12" s="29" customFormat="1" ht="102" x14ac:dyDescent="0.15">
      <c r="A277" s="19" t="str">
        <f>'Case-Specific'!A54</f>
      </c>
      <c r="B277" s="20">
        <f>VLOOKUP($A277,'Case-Specific'!$A$13:$E$85,2,0)&amp;""</f>
      </c>
      <c r="C277" s="45">
        <f>VLOOKUP($A277,'Case-Specific'!$A$13:$E$85,3,0)&amp;""</f>
      </c>
      <c r="D277" s="34">
        <f>IF(LEFT(VLOOKUP($A277,'Case-Specific'!$A$13:$E$85,5,0),21)='Auto Responses'!$A$32,'Auto Responses'!$A$33,VLOOKUP($A277,'Case-Specific'!$A$13:$E$85,4,0))&amp;""</f>
      </c>
      <c r="E277" s="323">
        <f>VLOOKUP($A277,'Case-Specific'!$A$13:$E$85,5,0)&amp;""</f>
      </c>
      <c r="F277" s="194"/>
      <c r="G277" s="30" t="str">
        <f>VLOOKUP($A277,Questions!$A$2:$X$333,21,0)&amp;""</f>
      </c>
      <c r="H277" s="184"/>
      <c r="I277" s="45" t="str">
        <f>VLOOKUP($A277,Questions!$A$2:$X$333,23,0)&amp;""</f>
      </c>
      <c r="J277" s="184"/>
      <c r="K277" s="48" t="b">
        <v>0</v>
      </c>
      <c r="L277" s="1"/>
    </row>
    <row r="278" spans="1:12" s="29" customFormat="1" ht="102" x14ac:dyDescent="0.15">
      <c r="A278" s="19" t="str">
        <f>'Case-Specific'!A55</f>
      </c>
      <c r="B278" s="20">
        <f>VLOOKUP($A278,'Case-Specific'!$A$13:$E$85,2,0)&amp;""</f>
      </c>
      <c r="C278" s="45">
        <f>VLOOKUP($A278,'Case-Specific'!$A$13:$E$85,3,0)&amp;""</f>
      </c>
      <c r="D278" s="34">
        <f>IF(LEFT(VLOOKUP($A278,'Case-Specific'!$A$13:$E$85,5,0),21)='Auto Responses'!$A$32,'Auto Responses'!$A$33,VLOOKUP($A278,'Case-Specific'!$A$13:$E$85,4,0))&amp;""</f>
      </c>
      <c r="E278" s="323">
        <f>VLOOKUP($A278,'Case-Specific'!$A$13:$E$85,5,0)&amp;""</f>
      </c>
      <c r="F278" s="194"/>
      <c r="G278" s="30" t="str">
        <f>VLOOKUP($A278,Questions!$A$2:$X$333,21,0)&amp;""</f>
      </c>
      <c r="H278" s="184"/>
      <c r="I278" s="45" t="str">
        <f>VLOOKUP($A278,Questions!$A$2:$X$333,23,0)&amp;""</f>
      </c>
      <c r="J278" s="184"/>
      <c r="K278" s="48" t="b">
        <v>0</v>
      </c>
      <c r="L278" s="1"/>
    </row>
    <row r="279" spans="1:12" s="29" customFormat="1" ht="102" x14ac:dyDescent="0.15">
      <c r="A279" s="19" t="str">
        <f>'Case-Specific'!A56</f>
      </c>
      <c r="B279" s="20">
        <f>VLOOKUP($A279,'Case-Specific'!$A$13:$E$85,2,0)&amp;""</f>
      </c>
      <c r="C279" s="45">
        <f>VLOOKUP($A279,'Case-Specific'!$A$13:$E$85,3,0)&amp;""</f>
      </c>
      <c r="D279" s="34">
        <f>IF(LEFT(VLOOKUP($A279,'Case-Specific'!$A$13:$E$85,5,0),21)='Auto Responses'!$A$32,'Auto Responses'!$A$33,VLOOKUP($A279,'Case-Specific'!$A$13:$E$85,4,0))&amp;""</f>
      </c>
      <c r="E279" s="323">
        <f>VLOOKUP($A279,'Case-Specific'!$A$13:$E$85,5,0)&amp;""</f>
      </c>
      <c r="F279" s="194"/>
      <c r="G279" s="30" t="str">
        <f>VLOOKUP($A279,Questions!$A$2:$X$333,21,0)&amp;""</f>
      </c>
      <c r="H279" s="184"/>
      <c r="I279" s="45" t="str">
        <f>VLOOKUP($A279,Questions!$A$2:$X$333,23,0)&amp;""</f>
      </c>
      <c r="J279" s="184"/>
      <c r="K279" s="48" t="b">
        <v>0</v>
      </c>
      <c r="L279" s="1"/>
    </row>
    <row r="280" spans="1:12" s="29" customFormat="1" ht="102" x14ac:dyDescent="0.15">
      <c r="A280" s="19" t="str">
        <f>'Case-Specific'!A57</f>
      </c>
      <c r="B280" s="20">
        <f>VLOOKUP($A280,'Case-Specific'!$A$13:$E$85,2,0)&amp;""</f>
      </c>
      <c r="C280" s="45">
        <f>VLOOKUP($A280,'Case-Specific'!$A$13:$E$85,3,0)&amp;""</f>
      </c>
      <c r="D280" s="34">
        <f>IF(LEFT(VLOOKUP($A280,'Case-Specific'!$A$13:$E$85,5,0),21)='Auto Responses'!$A$32,'Auto Responses'!$A$33,VLOOKUP($A280,'Case-Specific'!$A$13:$E$85,4,0))&amp;""</f>
      </c>
      <c r="E280" s="323">
        <f>VLOOKUP($A280,'Case-Specific'!$A$13:$E$85,5,0)&amp;""</f>
      </c>
      <c r="F280" s="194"/>
      <c r="G280" s="30" t="str">
        <f>VLOOKUP($A280,Questions!$A$2:$X$333,21,0)&amp;""</f>
      </c>
      <c r="H280" s="184"/>
      <c r="I280" s="45" t="str">
        <f>VLOOKUP($A280,Questions!$A$2:$X$333,23,0)&amp;""</f>
      </c>
      <c r="J280" s="184"/>
      <c r="K280" s="48" t="b">
        <v>0</v>
      </c>
      <c r="L280" s="1"/>
    </row>
    <row r="281" spans="1:12" s="29" customFormat="1" ht="102" x14ac:dyDescent="0.15">
      <c r="A281" s="19" t="str">
        <f>'Case-Specific'!A58</f>
      </c>
      <c r="B281" s="20">
        <f>VLOOKUP($A281,'Case-Specific'!$A$13:$E$85,2,0)&amp;""</f>
      </c>
      <c r="C281" s="45">
        <f>VLOOKUP($A281,'Case-Specific'!$A$13:$E$85,3,0)&amp;""</f>
      </c>
      <c r="D281" s="34">
        <f>IF(LEFT(VLOOKUP($A281,'Case-Specific'!$A$13:$E$85,5,0),21)='Auto Responses'!$A$32,'Auto Responses'!$A$33,VLOOKUP($A281,'Case-Specific'!$A$13:$E$85,4,0))&amp;""</f>
      </c>
      <c r="E281" s="323">
        <f>VLOOKUP($A281,'Case-Specific'!$A$13:$E$85,5,0)&amp;""</f>
      </c>
      <c r="F281" s="194"/>
      <c r="G281" s="30" t="str">
        <f>VLOOKUP($A281,Questions!$A$2:$X$333,21,0)&amp;""</f>
      </c>
      <c r="H281" s="184"/>
      <c r="I281" s="45" t="str">
        <f>VLOOKUP($A281,Questions!$A$2:$X$333,23,0)&amp;""</f>
      </c>
      <c r="J281" s="184"/>
      <c r="K281" s="48" t="b">
        <v>0</v>
      </c>
      <c r="L281" s="1"/>
    </row>
    <row r="282" spans="1:12" s="29" customFormat="1" ht="102" x14ac:dyDescent="0.15">
      <c r="A282" s="19" t="str">
        <f>'Case-Specific'!A59</f>
      </c>
      <c r="B282" s="20">
        <f>VLOOKUP($A282,'Case-Specific'!$A$13:$E$85,2,0)&amp;""</f>
      </c>
      <c r="C282" s="45">
        <f>VLOOKUP($A282,'Case-Specific'!$A$13:$E$85,3,0)&amp;""</f>
      </c>
      <c r="D282" s="34">
        <f>IF(LEFT(VLOOKUP($A282,'Case-Specific'!$A$13:$E$85,5,0),21)='Auto Responses'!$A$32,'Auto Responses'!$A$33,VLOOKUP($A282,'Case-Specific'!$A$13:$E$85,4,0))&amp;""</f>
      </c>
      <c r="E282" s="323">
        <f>VLOOKUP($A282,'Case-Specific'!$A$13:$E$85,5,0)&amp;""</f>
      </c>
      <c r="F282" s="194"/>
      <c r="G282" s="30" t="str">
        <f>VLOOKUP($A282,Questions!$A$2:$X$333,21,0)&amp;""</f>
      </c>
      <c r="H282" s="184"/>
      <c r="I282" s="45" t="str">
        <f>VLOOKUP($A282,Questions!$A$2:$X$333,23,0)&amp;""</f>
      </c>
      <c r="J282" s="184"/>
      <c r="K282" s="48" t="b">
        <v>0</v>
      </c>
      <c r="L282" s="1"/>
    </row>
    <row r="283" spans="1:12" s="29" customFormat="1" ht="102" x14ac:dyDescent="0.15">
      <c r="A283" s="19" t="str">
        <f>'Case-Specific'!A60</f>
      </c>
      <c r="B283" s="20">
        <f>VLOOKUP($A283,'Case-Specific'!$A$13:$E$85,2,0)&amp;""</f>
      </c>
      <c r="C283" s="45">
        <f>VLOOKUP($A283,'Case-Specific'!$A$13:$E$85,3,0)&amp;""</f>
      </c>
      <c r="D283" s="34">
        <f>IF(LEFT(VLOOKUP($A283,'Case-Specific'!$A$13:$E$85,5,0),21)='Auto Responses'!$A$32,'Auto Responses'!$A$33,VLOOKUP($A283,'Case-Specific'!$A$13:$E$85,4,0))&amp;""</f>
      </c>
      <c r="E283" s="323">
        <f>VLOOKUP($A283,'Case-Specific'!$A$13:$E$85,5,0)&amp;""</f>
      </c>
      <c r="F283" s="194"/>
      <c r="G283" s="30" t="str">
        <f>VLOOKUP($A283,Questions!$A$2:$X$333,21,0)&amp;""</f>
      </c>
      <c r="H283" s="184"/>
      <c r="I283" s="45" t="str">
        <f>VLOOKUP($A283,Questions!$A$2:$X$333,23,0)&amp;""</f>
      </c>
      <c r="J283" s="184"/>
      <c r="K283" s="48" t="b">
        <v>0</v>
      </c>
      <c r="L283" s="1"/>
    </row>
    <row r="284" spans="1:12" s="29" customFormat="1" ht="102" x14ac:dyDescent="0.15">
      <c r="A284" s="19" t="str">
        <f>'Case-Specific'!A61</f>
      </c>
      <c r="B284" s="20">
        <f>VLOOKUP($A284,'Case-Specific'!$A$13:$E$85,2,0)&amp;""</f>
      </c>
      <c r="C284" s="45">
        <f>VLOOKUP($A284,'Case-Specific'!$A$13:$E$85,3,0)&amp;""</f>
      </c>
      <c r="D284" s="34">
        <f>IF(LEFT(VLOOKUP($A284,'Case-Specific'!$A$13:$E$85,5,0),21)='Auto Responses'!$A$32,'Auto Responses'!$A$33,VLOOKUP($A284,'Case-Specific'!$A$13:$E$85,4,0))&amp;""</f>
      </c>
      <c r="E284" s="323">
        <f>VLOOKUP($A284,'Case-Specific'!$A$13:$E$85,5,0)&amp;""</f>
      </c>
      <c r="F284" s="194"/>
      <c r="G284" s="30" t="str">
        <f>VLOOKUP($A284,Questions!$A$2:$X$333,21,0)&amp;""</f>
      </c>
      <c r="H284" s="184"/>
      <c r="I284" s="45" t="str">
        <f>VLOOKUP($A284,Questions!$A$2:$X$333,23,0)&amp;""</f>
      </c>
      <c r="J284" s="184"/>
      <c r="K284" s="48" t="b">
        <v>0</v>
      </c>
      <c r="L284" s="1"/>
    </row>
    <row r="285" spans="1:12" s="1" customFormat="1" ht="18" x14ac:dyDescent="0.15">
      <c r="A285" s="63" t="str">
        <f>VLOOKUP(LEFT($A286,4),'Auto Responses'!$N$4:$O$38,2,0)&amp;""</f>
        <v xml:space="preserve"> Payment Card Industry Data Security Standard (PCI DSS)</v>
      </c>
      <c r="B285" s="22"/>
      <c r="C285" s="31"/>
      <c r="D285" s="31"/>
      <c r="E285" s="324"/>
      <c r="F285" s="361" t="s">
        <v>1030</v>
      </c>
      <c r="G285" s="328" t="s">
        <v>869</v>
      </c>
      <c r="H285" s="328" t="s">
        <v>871</v>
      </c>
      <c r="I285" s="328" t="s">
        <v>19</v>
      </c>
      <c r="J285" s="328" t="s">
        <v>856</v>
      </c>
      <c r="K285" s="328" t="s">
        <v>867</v>
      </c>
    </row>
    <row r="286" spans="1:12" s="29" customFormat="1" ht="119" x14ac:dyDescent="0.15">
      <c r="A286" s="19">
        <f>'Case-Specific'!A63</f>
      </c>
      <c r="B286" s="20">
        <f>VLOOKUP($A286,'Case-Specific'!$A$13:$E$85,2,0)&amp;""</f>
      </c>
      <c r="C286" s="45">
        <f>VLOOKUP($A286,'Case-Specific'!$A$13:$E$85,3,0)&amp;""</f>
      </c>
      <c r="D286" s="34">
        <f>IF(LEFT(VLOOKUP($A286,'Case-Specific'!$A$13:$E$85,5,0),21)='Auto Responses'!$A$32,'Auto Responses'!$A$33,VLOOKUP($A286,'Case-Specific'!$A$13:$E$85,4,0))&amp;""</f>
      </c>
      <c r="E286" s="323">
        <f>VLOOKUP($A286,'Case-Specific'!$A$13:$E$85,5,0)&amp;""</f>
      </c>
      <c r="F286" s="194"/>
      <c r="G286" s="30" t="str">
        <f>VLOOKUP($A286,Questions!$A$2:$X$333,21,0)&amp;""</f>
      </c>
      <c r="H286" s="184"/>
      <c r="I286" s="45" t="str">
        <f>VLOOKUP($A286,Questions!$A$2:$X$333,23,0)&amp;""</f>
      </c>
      <c r="J286" s="184"/>
      <c r="K286" s="48" t="b">
        <v>0</v>
      </c>
      <c r="L286" s="1"/>
    </row>
    <row r="287" spans="1:12" s="29" customFormat="1" ht="68" x14ac:dyDescent="0.15">
      <c r="A287" s="19" t="str">
        <f>'Case-Specific'!A64</f>
      </c>
      <c r="B287" s="20">
        <f>VLOOKUP($A287,'Case-Specific'!$A$13:$E$85,2,0)&amp;""</f>
      </c>
      <c r="C287" s="45">
        <f>VLOOKUP($A287,'Case-Specific'!$A$13:$E$85,3,0)&amp;""</f>
      </c>
      <c r="D287" s="34">
        <f>IF(LEFT(VLOOKUP($A287,'Case-Specific'!$A$13:$E$85,5,0),21)='Auto Responses'!$A$32,'Auto Responses'!$A$33,VLOOKUP($A287,'Case-Specific'!$A$13:$E$85,4,0))&amp;""</f>
      </c>
      <c r="E287" s="323">
        <f>VLOOKUP($A287,'Case-Specific'!$A$13:$E$85,5,0)&amp;""</f>
      </c>
      <c r="F287" s="194"/>
      <c r="G287" s="30" t="str">
        <f>VLOOKUP($A287,Questions!$A$2:$X$333,21,0)&amp;""</f>
      </c>
      <c r="H287" s="184"/>
      <c r="I287" s="45" t="str">
        <f>VLOOKUP($A287,Questions!$A$2:$X$333,23,0)&amp;""</f>
      </c>
      <c r="J287" s="184"/>
      <c r="K287" s="48" t="b">
        <v>0</v>
      </c>
      <c r="L287" s="1"/>
    </row>
    <row r="288" spans="1:12" s="29" customFormat="1" ht="68" x14ac:dyDescent="0.15">
      <c r="A288" s="19" t="str">
        <f>'Case-Specific'!A65</f>
      </c>
      <c r="B288" s="20">
        <f>VLOOKUP($A288,'Case-Specific'!$A$13:$E$85,2,0)&amp;""</f>
      </c>
      <c r="C288" s="45">
        <f>VLOOKUP($A288,'Case-Specific'!$A$13:$E$85,3,0)&amp;""</f>
      </c>
      <c r="D288" s="34">
        <f>IF(LEFT(VLOOKUP($A288,'Case-Specific'!$A$13:$E$85,5,0),21)='Auto Responses'!$A$32,'Auto Responses'!$A$33,VLOOKUP($A288,'Case-Specific'!$A$13:$E$85,4,0))&amp;""</f>
      </c>
      <c r="E288" s="323">
        <f>VLOOKUP($A288,'Case-Specific'!$A$13:$E$85,5,0)&amp;""</f>
      </c>
      <c r="F288" s="194"/>
      <c r="G288" s="30" t="str">
        <f>VLOOKUP($A288,Questions!$A$2:$X$333,21,0)&amp;""</f>
      </c>
      <c r="H288" s="184"/>
      <c r="I288" s="45" t="str">
        <f>VLOOKUP($A288,Questions!$A$2:$X$333,23,0)&amp;""</f>
      </c>
      <c r="J288" s="184"/>
      <c r="K288" s="48" t="b">
        <v>0</v>
      </c>
      <c r="L288" s="1"/>
    </row>
    <row r="289" spans="1:12" s="29" customFormat="1" ht="85" x14ac:dyDescent="0.15">
      <c r="A289" s="19" t="str">
        <f>'Case-Specific'!A66</f>
      </c>
      <c r="B289" s="20">
        <f>VLOOKUP($A289,'Case-Specific'!$A$13:$E$85,2,0)&amp;""</f>
      </c>
      <c r="C289" s="45">
        <f>VLOOKUP($A289,'Case-Specific'!$A$13:$E$85,3,0)&amp;""</f>
      </c>
      <c r="D289" s="34">
        <f>IF(LEFT(VLOOKUP($A289,'Case-Specific'!$A$13:$E$85,5,0),21)='Auto Responses'!$A$32,'Auto Responses'!$A$33,VLOOKUP($A289,'Case-Specific'!$A$13:$E$85,4,0))&amp;""</f>
      </c>
      <c r="E289" s="323">
        <f>VLOOKUP($A289,'Case-Specific'!$A$13:$E$85,5,0)&amp;""</f>
      </c>
      <c r="F289" s="194"/>
      <c r="G289" s="30" t="str">
        <f>VLOOKUP($A289,Questions!$A$2:$X$333,21,0)&amp;""</f>
      </c>
      <c r="H289" s="184"/>
      <c r="I289" s="45" t="str">
        <f>VLOOKUP($A289,Questions!$A$2:$X$333,23,0)&amp;""</f>
      </c>
      <c r="J289" s="184"/>
      <c r="K289" s="48" t="b">
        <v>0</v>
      </c>
      <c r="L289" s="1"/>
    </row>
    <row r="290" spans="1:12" s="29" customFormat="1" ht="102" x14ac:dyDescent="0.15">
      <c r="A290" s="19" t="str">
        <f>'Case-Specific'!A67</f>
      </c>
      <c r="B290" s="20">
        <f>VLOOKUP($A290,'Case-Specific'!$A$13:$E$85,2,0)&amp;""</f>
      </c>
      <c r="C290" s="45">
        <f>VLOOKUP($A290,'Case-Specific'!$A$13:$E$85,3,0)&amp;""</f>
      </c>
      <c r="D290" s="34">
        <f>IF(LEFT(VLOOKUP($A290,'Case-Specific'!$A$13:$E$85,5,0),21)='Auto Responses'!$A$32,'Auto Responses'!$A$33,VLOOKUP($A290,'Case-Specific'!$A$13:$E$85,4,0))&amp;""</f>
      </c>
      <c r="E290" s="323">
        <f>VLOOKUP($A290,'Case-Specific'!$A$13:$E$85,5,0)&amp;""</f>
      </c>
      <c r="F290" s="194"/>
      <c r="G290" s="30" t="str">
        <f>VLOOKUP($A290,Questions!$A$2:$X$333,21,0)&amp;""</f>
      </c>
      <c r="H290" s="184"/>
      <c r="I290" s="45" t="str">
        <f>VLOOKUP($A290,Questions!$A$2:$X$333,23,0)&amp;""</f>
      </c>
      <c r="J290" s="184"/>
      <c r="K290" s="48" t="b">
        <v>0</v>
      </c>
      <c r="L290" s="1"/>
    </row>
    <row r="291" spans="1:12" s="29" customFormat="1" ht="68" x14ac:dyDescent="0.15">
      <c r="A291" s="19" t="str">
        <f>'Case-Specific'!A68</f>
      </c>
      <c r="B291" s="20">
        <f>VLOOKUP($A291,'Case-Specific'!$A$13:$E$85,2,0)&amp;""</f>
      </c>
      <c r="C291" s="45">
        <f>VLOOKUP($A291,'Case-Specific'!$A$13:$E$85,3,0)&amp;""</f>
      </c>
      <c r="D291" s="34">
        <f>IF(LEFT(VLOOKUP($A291,'Case-Specific'!$A$13:$E$85,5,0),21)='Auto Responses'!$A$32,'Auto Responses'!$A$33,VLOOKUP($A291,'Case-Specific'!$A$13:$E$85,4,0))&amp;""</f>
      </c>
      <c r="E291" s="323">
        <f>VLOOKUP($A291,'Case-Specific'!$A$13:$E$85,5,0)&amp;""</f>
      </c>
      <c r="F291" s="194"/>
      <c r="G291" s="30" t="str">
        <f>VLOOKUP($A291,Questions!$A$2:$X$333,21,0)&amp;""</f>
      </c>
      <c r="H291" s="184"/>
      <c r="I291" s="45" t="str">
        <f>VLOOKUP($A291,Questions!$A$2:$X$333,23,0)&amp;""</f>
      </c>
      <c r="J291" s="184"/>
      <c r="K291" s="48" t="b">
        <v>0</v>
      </c>
      <c r="L291" s="1"/>
    </row>
    <row r="292" spans="1:12" s="29" customFormat="1" ht="68" x14ac:dyDescent="0.15">
      <c r="A292" s="19" t="str">
        <f>'Case-Specific'!A69</f>
      </c>
      <c r="B292" s="20">
        <f>VLOOKUP($A292,'Case-Specific'!$A$13:$E$85,2,0)&amp;""</f>
      </c>
      <c r="C292" s="45">
        <f>VLOOKUP($A292,'Case-Specific'!$A$13:$E$85,3,0)&amp;""</f>
      </c>
      <c r="D292" s="34">
        <f>IF(LEFT(VLOOKUP($A292,'Case-Specific'!$A$13:$E$85,5,0),21)='Auto Responses'!$A$32,'Auto Responses'!$A$33,VLOOKUP($A292,'Case-Specific'!$A$13:$E$85,4,0))&amp;""</f>
      </c>
      <c r="E292" s="323">
        <f>VLOOKUP($A292,'Case-Specific'!$A$13:$E$85,5,0)&amp;""</f>
      </c>
      <c r="F292" s="194"/>
      <c r="G292" s="30" t="str">
        <f>VLOOKUP($A292,Questions!$A$2:$X$333,21,0)&amp;""</f>
      </c>
      <c r="H292" s="184"/>
      <c r="I292" s="45" t="str">
        <f>VLOOKUP($A292,Questions!$A$2:$X$333,23,0)&amp;""</f>
      </c>
      <c r="J292" s="184"/>
      <c r="K292" s="48" t="b">
        <v>0</v>
      </c>
      <c r="L292" s="1"/>
    </row>
    <row r="293" spans="1:12" s="29" customFormat="1" ht="68" x14ac:dyDescent="0.15">
      <c r="A293" s="19" t="str">
        <f>'Case-Specific'!A70</f>
      </c>
      <c r="B293" s="20">
        <f>VLOOKUP($A293,'Case-Specific'!$A$13:$E$85,2,0)&amp;""</f>
      </c>
      <c r="C293" s="45">
        <f>VLOOKUP($A293,'Case-Specific'!$A$13:$E$85,3,0)&amp;""</f>
      </c>
      <c r="D293" s="34">
        <f>IF(LEFT(VLOOKUP($A293,'Case-Specific'!$A$13:$E$85,5,0),21)='Auto Responses'!$A$32,'Auto Responses'!$A$33,VLOOKUP($A293,'Case-Specific'!$A$13:$E$85,4,0))&amp;""</f>
      </c>
      <c r="E293" s="323">
        <f>VLOOKUP($A293,'Case-Specific'!$A$13:$E$85,5,0)&amp;""</f>
      </c>
      <c r="F293" s="194"/>
      <c r="G293" s="30" t="str">
        <f>VLOOKUP($A293,Questions!$A$2:$X$333,21,0)&amp;""</f>
      </c>
      <c r="H293" s="184"/>
      <c r="I293" s="45" t="str">
        <f>VLOOKUP($A293,Questions!$A$2:$X$333,23,0)&amp;""</f>
      </c>
      <c r="J293" s="184"/>
      <c r="K293" s="48" t="b">
        <v>0</v>
      </c>
      <c r="L293" s="1"/>
    </row>
    <row r="294" spans="1:12" s="29" customFormat="1" ht="238" x14ac:dyDescent="0.15">
      <c r="A294" s="19" t="str">
        <f>'Case-Specific'!A71</f>
      </c>
      <c r="B294" s="20">
        <f>VLOOKUP($A294,'Case-Specific'!$A$13:$E$85,2,0)&amp;""</f>
      </c>
      <c r="C294" s="299">
        <f>VLOOKUP($A294,'Case-Specific'!$A$13:$E$85,3,0)&amp;""</f>
      </c>
      <c r="D294" s="298">
        <f>IF(LEFT(VLOOKUP($A294,'Case-Specific'!$A$13:$E$85,5,0),21)='Auto Responses'!$A$32,'Auto Responses'!$A$33,VLOOKUP($A294,'Case-Specific'!$A$13:$E$85,4,0))&amp;""</f>
      </c>
      <c r="E294" s="323">
        <f>VLOOKUP($A294,'Case-Specific'!$A$13:$E$85,5,0)&amp;""</f>
      </c>
      <c r="F294" s="194"/>
      <c r="G294" s="30" t="str">
        <f>VLOOKUP($A294,Questions!$A$2:$X$333,21,0)&amp;""</f>
      </c>
      <c r="H294" s="184"/>
      <c r="I294" s="45" t="str">
        <f>VLOOKUP($A294,Questions!$A$2:$X$333,23,0)&amp;""</f>
      </c>
      <c r="J294" s="184"/>
      <c r="K294" s="48" t="b">
        <v>0</v>
      </c>
      <c r="L294" s="1"/>
    </row>
    <row r="295" spans="1:12" s="29" customFormat="1" ht="68" x14ac:dyDescent="0.15">
      <c r="A295" s="19" t="str">
        <f>'Case-Specific'!A72</f>
      </c>
      <c r="B295" s="20">
        <f>VLOOKUP($A295,'Case-Specific'!$A$13:$E$85,2,0)&amp;""</f>
      </c>
      <c r="C295" s="45">
        <f>VLOOKUP($A295,'Case-Specific'!$A$13:$E$85,3,0)&amp;""</f>
      </c>
      <c r="D295" s="34">
        <f>IF(LEFT(VLOOKUP($A295,'Case-Specific'!$A$13:$E$85,5,0),21)='Auto Responses'!$A$32,'Auto Responses'!$A$33,VLOOKUP($A295,'Case-Specific'!$A$13:$E$85,4,0))&amp;""</f>
      </c>
      <c r="E295" s="323">
        <f>VLOOKUP($A295,'Case-Specific'!$A$13:$E$85,5,0)&amp;""</f>
      </c>
      <c r="F295" s="194"/>
      <c r="G295" s="30" t="str">
        <f>VLOOKUP($A295,Questions!$A$2:$X$333,21,0)&amp;""</f>
      </c>
      <c r="H295" s="184"/>
      <c r="I295" s="45" t="str">
        <f>VLOOKUP($A295,Questions!$A$2:$X$333,23,0)&amp;""</f>
      </c>
      <c r="J295" s="184"/>
      <c r="K295" s="48" t="b">
        <v>0</v>
      </c>
      <c r="L295" s="1"/>
    </row>
    <row r="296" spans="1:12" s="29" customFormat="1" ht="68" x14ac:dyDescent="0.15">
      <c r="A296" s="19" t="str">
        <f>'Case-Specific'!A73</f>
      </c>
      <c r="B296" s="20">
        <f>VLOOKUP($A296,'Case-Specific'!$A$13:$E$85,2,0)&amp;""</f>
      </c>
      <c r="C296" s="45">
        <f>VLOOKUP($A296,'Case-Specific'!$A$13:$E$85,3,0)&amp;""</f>
      </c>
      <c r="D296" s="34">
        <f>IF(LEFT(VLOOKUP($A296,'Case-Specific'!$A$13:$E$85,5,0),21)='Auto Responses'!$A$32,'Auto Responses'!$A$33,VLOOKUP($A296,'Case-Specific'!$A$13:$E$85,4,0))&amp;""</f>
      </c>
      <c r="E296" s="323">
        <f>VLOOKUP($A296,'Case-Specific'!$A$13:$E$85,5,0)&amp;""</f>
      </c>
      <c r="F296" s="194"/>
      <c r="G296" s="30" t="str">
        <f>VLOOKUP($A296,Questions!$A$2:$X$333,21,0)&amp;""</f>
      </c>
      <c r="H296" s="184"/>
      <c r="I296" s="45" t="str">
        <f>VLOOKUP($A296,Questions!$A$2:$X$333,23,0)&amp;""</f>
      </c>
      <c r="J296" s="184"/>
      <c r="K296" s="48" t="b">
        <v>0</v>
      </c>
      <c r="L296" s="1"/>
    </row>
    <row r="297" spans="1:12" s="29" customFormat="1" ht="85" x14ac:dyDescent="0.15">
      <c r="A297" s="19" t="str">
        <f>'Case-Specific'!A74</f>
      </c>
      <c r="B297" s="20">
        <f>VLOOKUP($A297,'Case-Specific'!$A$13:$E$85,2,0)&amp;""</f>
      </c>
      <c r="C297" s="299">
        <f>VLOOKUP($A297,'Case-Specific'!$A$13:$E$85,3,0)&amp;""</f>
      </c>
      <c r="D297" s="298">
        <f>IF(LEFT(VLOOKUP($A297,'Case-Specific'!$A$13:$E$85,5,0),21)='Auto Responses'!$A$32,'Auto Responses'!$A$33,VLOOKUP($A297,'Case-Specific'!$A$13:$E$85,4,0))&amp;""</f>
      </c>
      <c r="E297" s="323">
        <f>VLOOKUP($A297,'Case-Specific'!$A$13:$E$85,5,0)&amp;""</f>
      </c>
      <c r="F297" s="194"/>
      <c r="G297" s="30" t="str">
        <f>VLOOKUP($A297,Questions!$A$2:$X$333,21,0)&amp;""</f>
      </c>
      <c r="H297" s="184"/>
      <c r="I297" s="45" t="str">
        <f>VLOOKUP($A297,Questions!$A$2:$X$333,23,0)&amp;""</f>
      </c>
      <c r="J297" s="184"/>
      <c r="K297" s="48" t="b">
        <v>0</v>
      </c>
      <c r="L297" s="1"/>
    </row>
    <row r="298" spans="1:12" s="1" customFormat="1" ht="18" x14ac:dyDescent="0.15">
      <c r="A298" s="63" t="str">
        <f>VLOOKUP(LEFT($A299,4),'Auto Responses'!$N$4:$O$38,2,0)&amp;""</f>
        <v xml:space="preserve"> On-Premises Data Solutions</v>
      </c>
      <c r="B298" s="22"/>
      <c r="C298" s="31"/>
      <c r="D298" s="31"/>
      <c r="E298" s="324"/>
      <c r="F298" s="361" t="s">
        <v>1030</v>
      </c>
      <c r="G298" s="328" t="s">
        <v>869</v>
      </c>
      <c r="H298" s="328" t="s">
        <v>871</v>
      </c>
      <c r="I298" s="328" t="s">
        <v>19</v>
      </c>
      <c r="J298" s="328" t="s">
        <v>856</v>
      </c>
      <c r="K298" s="328" t="s">
        <v>867</v>
      </c>
    </row>
    <row r="299" spans="1:12" s="29" customFormat="1" ht="102" x14ac:dyDescent="0.15">
      <c r="A299" s="19">
        <f>'Case-Specific'!A76</f>
      </c>
      <c r="B299" s="20">
        <f>VLOOKUP($A299,'Case-Specific'!$A$13:$E$85,2,0)&amp;""</f>
      </c>
      <c r="C299" s="45">
        <f>VLOOKUP($A299,'Case-Specific'!$A$13:$E$85,3,0)&amp;""</f>
      </c>
      <c r="D299" s="34">
        <f>IF(LEFT(VLOOKUP($A299,'Case-Specific'!$A$13:$E$85,5,0),21)='Auto Responses'!$A$32,'Auto Responses'!$A$33,VLOOKUP($A299,'Case-Specific'!$A$13:$E$85,4,0))&amp;""</f>
      </c>
      <c r="E299" s="323">
        <f>VLOOKUP($A299,'Case-Specific'!$A$13:$E$85,5,0)&amp;""</f>
      </c>
      <c r="F299" s="194"/>
      <c r="G299" s="30" t="str">
        <f>VLOOKUP($A299,Questions!$A$2:$X$333,21,0)&amp;""</f>
      </c>
      <c r="H299" s="184"/>
      <c r="I299" s="45" t="str">
        <f>VLOOKUP($A299,Questions!$A$2:$X$333,23,0)&amp;""</f>
      </c>
      <c r="J299" s="184"/>
      <c r="K299" s="48" t="b">
        <v>0</v>
      </c>
      <c r="L299" s="1"/>
    </row>
    <row r="300" spans="1:12" s="29" customFormat="1" ht="102" x14ac:dyDescent="0.15">
      <c r="A300" s="19" t="str">
        <f>'Case-Specific'!A77</f>
      </c>
      <c r="B300" s="20">
        <f>VLOOKUP($A300,'Case-Specific'!$A$13:$E$85,2,0)&amp;""</f>
      </c>
      <c r="C300" s="45">
        <f>VLOOKUP($A300,'Case-Specific'!$A$13:$E$85,3,0)&amp;""</f>
      </c>
      <c r="D300" s="34">
        <f>IF(LEFT(VLOOKUP($A300,'Case-Specific'!$A$13:$E$85,5,0),21)='Auto Responses'!$A$32,'Auto Responses'!$A$33,VLOOKUP($A300,'Case-Specific'!$A$13:$E$85,4,0))&amp;""</f>
      </c>
      <c r="E300" s="323">
        <f>VLOOKUP($A300,'Case-Specific'!$A$13:$E$85,5,0)&amp;""</f>
      </c>
      <c r="F300" s="194"/>
      <c r="G300" s="30" t="str">
        <f>VLOOKUP($A300,Questions!$A$2:$X$333,21,0)&amp;""</f>
      </c>
      <c r="H300" s="184"/>
      <c r="I300" s="45" t="str">
        <f>VLOOKUP($A300,Questions!$A$2:$X$333,23,0)&amp;""</f>
      </c>
      <c r="J300" s="184"/>
      <c r="K300" s="48" t="b">
        <v>0</v>
      </c>
      <c r="L300" s="1"/>
    </row>
    <row r="301" spans="1:12" s="29" customFormat="1" ht="102" x14ac:dyDescent="0.15">
      <c r="A301" s="19" t="str">
        <f>'Case-Specific'!A78</f>
      </c>
      <c r="B301" s="20">
        <f>VLOOKUP($A301,'Case-Specific'!$A$13:$E$85,2,0)&amp;""</f>
      </c>
      <c r="C301" s="45">
        <f>VLOOKUP($A301,'Case-Specific'!$A$13:$E$85,3,0)&amp;""</f>
      </c>
      <c r="D301" s="34">
        <f>IF(LEFT(VLOOKUP($A301,'Case-Specific'!$A$13:$E$85,5,0),21)='Auto Responses'!$A$32,'Auto Responses'!$A$33,VLOOKUP($A301,'Case-Specific'!$A$13:$E$85,4,0))&amp;""</f>
      </c>
      <c r="E301" s="323">
        <f>VLOOKUP($A301,'Case-Specific'!$A$13:$E$85,5,0)&amp;""</f>
      </c>
      <c r="F301" s="194"/>
      <c r="G301" s="30" t="str">
        <f>VLOOKUP($A301,Questions!$A$2:$X$333,21,0)&amp;""</f>
      </c>
      <c r="H301" s="184"/>
      <c r="I301" s="45" t="str">
        <f>VLOOKUP($A301,Questions!$A$2:$X$333,23,0)&amp;""</f>
      </c>
      <c r="J301" s="184"/>
      <c r="K301" s="48" t="b">
        <v>0</v>
      </c>
      <c r="L301" s="1"/>
    </row>
    <row r="302" spans="1:12" s="29" customFormat="1" ht="102" x14ac:dyDescent="0.15">
      <c r="A302" s="19" t="str">
        <f>'Case-Specific'!A79</f>
      </c>
      <c r="B302" s="20">
        <f>VLOOKUP($A302,'Case-Specific'!$A$13:$E$85,2,0)&amp;""</f>
      </c>
      <c r="C302" s="45">
        <f>VLOOKUP($A302,'Case-Specific'!$A$13:$E$85,3,0)&amp;""</f>
      </c>
      <c r="D302" s="34">
        <f>IF(LEFT(VLOOKUP($A302,'Case-Specific'!$A$13:$E$85,5,0),21)='Auto Responses'!$A$32,'Auto Responses'!$A$33,VLOOKUP($A302,'Case-Specific'!$A$13:$E$85,4,0))&amp;""</f>
      </c>
      <c r="E302" s="323">
        <f>VLOOKUP($A302,'Case-Specific'!$A$13:$E$85,5,0)&amp;""</f>
      </c>
      <c r="F302" s="194"/>
      <c r="G302" s="30" t="str">
        <f>VLOOKUP($A302,Questions!$A$2:$X$333,21,0)&amp;""</f>
      </c>
      <c r="H302" s="184"/>
      <c r="I302" s="45" t="str">
        <f>VLOOKUP($A302,Questions!$A$2:$X$333,23,0)&amp;""</f>
      </c>
      <c r="J302" s="184"/>
      <c r="K302" s="48" t="b">
        <v>0</v>
      </c>
      <c r="L302" s="1"/>
    </row>
    <row r="303" spans="1:12" s="29" customFormat="1" ht="102" x14ac:dyDescent="0.15">
      <c r="A303" s="19" t="str">
        <f>'Case-Specific'!A80</f>
      </c>
      <c r="B303" s="20">
        <f>VLOOKUP($A303,'Case-Specific'!$A$13:$E$85,2,0)&amp;""</f>
      </c>
      <c r="C303" s="45">
        <f>VLOOKUP($A303,'Case-Specific'!$A$13:$E$85,3,0)&amp;""</f>
      </c>
      <c r="D303" s="34">
        <f>IF(LEFT(VLOOKUP($A303,'Case-Specific'!$A$13:$E$85,5,0),21)='Auto Responses'!$A$32,'Auto Responses'!$A$33,VLOOKUP($A303,'Case-Specific'!$A$13:$E$85,4,0))&amp;""</f>
      </c>
      <c r="E303" s="323">
        <f>VLOOKUP($A303,'Case-Specific'!$A$13:$E$85,5,0)&amp;""</f>
      </c>
      <c r="F303" s="194"/>
      <c r="G303" s="30" t="str">
        <f>VLOOKUP($A303,Questions!$A$2:$X$333,21,0)&amp;""</f>
      </c>
      <c r="H303" s="184"/>
      <c r="I303" s="45" t="str">
        <f>VLOOKUP($A303,Questions!$A$2:$X$333,23,0)&amp;""</f>
      </c>
      <c r="J303" s="184"/>
      <c r="K303" s="48" t="b">
        <v>0</v>
      </c>
      <c r="L303" s="1"/>
    </row>
    <row r="304" spans="1:12" s="29" customFormat="1" ht="102" x14ac:dyDescent="0.15">
      <c r="A304" s="19" t="str">
        <f>'Case-Specific'!A81</f>
      </c>
      <c r="B304" s="20">
        <f>VLOOKUP($A304,'Case-Specific'!$A$13:$E$85,2,0)&amp;""</f>
      </c>
      <c r="C304" s="45">
        <f>VLOOKUP($A304,'Case-Specific'!$A$13:$E$85,3,0)&amp;""</f>
      </c>
      <c r="D304" s="34">
        <f>IF(LEFT(VLOOKUP($A304,'Case-Specific'!$A$13:$E$85,5,0),21)='Auto Responses'!$A$32,'Auto Responses'!$A$33,VLOOKUP($A304,'Case-Specific'!$A$13:$E$85,4,0))&amp;""</f>
      </c>
      <c r="E304" s="323">
        <f>VLOOKUP($A304,'Case-Specific'!$A$13:$E$85,5,0)&amp;""</f>
      </c>
      <c r="F304" s="194"/>
      <c r="G304" s="30" t="str">
        <f>VLOOKUP($A304,Questions!$A$2:$X$333,21,0)&amp;""</f>
      </c>
      <c r="H304" s="184"/>
      <c r="I304" s="45" t="str">
        <f>VLOOKUP($A304,Questions!$A$2:$X$333,23,0)&amp;""</f>
      </c>
      <c r="J304" s="184"/>
      <c r="K304" s="48" t="b">
        <v>0</v>
      </c>
      <c r="L304" s="1"/>
    </row>
    <row r="305" spans="1:12" s="29" customFormat="1" ht="102" x14ac:dyDescent="0.15">
      <c r="A305" s="19" t="str">
        <f>'Case-Specific'!A82</f>
      </c>
      <c r="B305" s="20">
        <f>VLOOKUP($A305,'Case-Specific'!$A$13:$E$85,2,0)&amp;""</f>
      </c>
      <c r="C305" s="45">
        <f>VLOOKUP($A305,'Case-Specific'!$A$13:$E$85,3,0)&amp;""</f>
      </c>
      <c r="D305" s="34">
        <f>IF(LEFT(VLOOKUP($A305,'Case-Specific'!$A$13:$E$85,5,0),21)='Auto Responses'!$A$32,'Auto Responses'!$A$33,VLOOKUP($A305,'Case-Specific'!$A$13:$E$85,4,0))&amp;""</f>
      </c>
      <c r="E305" s="325">
        <f>VLOOKUP($A305,'Case-Specific'!$A$13:$E$85,5,0)&amp;""</f>
      </c>
      <c r="F305" s="194"/>
      <c r="G305" s="30" t="str">
        <f>VLOOKUP($A305,Questions!$A$2:$X$333,21,0)&amp;""</f>
      </c>
      <c r="H305" s="184"/>
      <c r="I305" s="45" t="str">
        <f>VLOOKUP($A305,Questions!$A$2:$X$333,23,0)&amp;""</f>
      </c>
      <c r="J305" s="184"/>
      <c r="K305" s="48" t="b">
        <v>0</v>
      </c>
      <c r="L305" s="1"/>
    </row>
    <row r="306" spans="1:12" s="29" customFormat="1" ht="102" x14ac:dyDescent="0.15">
      <c r="A306" s="19" t="str">
        <f>'Case-Specific'!A83</f>
      </c>
      <c r="B306" s="20">
        <f>VLOOKUP($A306,'Case-Specific'!$A$13:$E$85,2,0)&amp;""</f>
      </c>
      <c r="C306" s="299">
        <f>VLOOKUP($A306,'Case-Specific'!$A$13:$E$85,3,0)&amp;""</f>
      </c>
      <c r="D306" s="300">
        <f>IF(LEFT(VLOOKUP($A306,'Case-Specific'!$A$13:$E$85,5,0),21)='Auto Responses'!$A$32,'Auto Responses'!$A$33,VLOOKUP($A306,'Case-Specific'!$A$13:$E$85,4,0))&amp;""</f>
      </c>
      <c r="E306" s="325">
        <f>VLOOKUP($A306,'Case-Specific'!$A$13:$E$85,5,0)&amp;""</f>
      </c>
      <c r="F306" s="194"/>
      <c r="G306" s="30" t="str">
        <f>VLOOKUP($A306,Questions!$A$2:$X$333,21,0)&amp;""</f>
      </c>
      <c r="H306" s="184"/>
      <c r="I306" s="45" t="str">
        <f>VLOOKUP($A306,Questions!$A$2:$X$333,23,0)&amp;""</f>
      </c>
      <c r="J306" s="184"/>
      <c r="K306" s="48" t="b">
        <v>0</v>
      </c>
      <c r="L306" s="1"/>
    </row>
    <row r="307" spans="1:12" s="29" customFormat="1" ht="102" x14ac:dyDescent="0.15">
      <c r="A307" s="19" t="str">
        <f>'Case-Specific'!A84</f>
      </c>
      <c r="B307" s="20">
        <f>VLOOKUP($A307,'Case-Specific'!$A$13:$E$85,2,0)&amp;""</f>
      </c>
      <c r="C307" s="299">
        <f>VLOOKUP($A307,'Case-Specific'!$A$13:$E$85,3,0)&amp;""</f>
      </c>
      <c r="D307" s="300">
        <f>IF(LEFT(VLOOKUP($A307,'Case-Specific'!$A$13:$E$85,5,0),21)='Auto Responses'!$A$32,'Auto Responses'!$A$33,VLOOKUP($A307,'Case-Specific'!$A$13:$E$85,4,0))&amp;""</f>
      </c>
      <c r="E307" s="325">
        <f>VLOOKUP($A307,'Case-Specific'!$A$13:$E$85,5,0)&amp;""</f>
      </c>
      <c r="F307" s="194"/>
      <c r="G307" s="30" t="str">
        <f>VLOOKUP($A307,Questions!$A$2:$X$333,21,0)&amp;""</f>
      </c>
      <c r="H307" s="184"/>
      <c r="I307" s="45" t="str">
        <f>VLOOKUP($A307,Questions!$A$2:$X$333,23,0)&amp;""</f>
      </c>
      <c r="J307" s="184"/>
      <c r="K307" s="48" t="b">
        <v>0</v>
      </c>
      <c r="L307" s="1"/>
    </row>
    <row r="308" spans="1:12" s="29" customFormat="1" ht="103" thickBot="1" x14ac:dyDescent="0.2">
      <c r="A308" s="19" t="str">
        <f>'Case-Specific'!A85</f>
      </c>
      <c r="B308" s="20">
        <f>VLOOKUP($A308,'Case-Specific'!$A$13:$E$85,2,0)&amp;""</f>
      </c>
      <c r="C308" s="45">
        <f>VLOOKUP($A308,'Case-Specific'!$A$13:$E$85,3,0)&amp;""</f>
      </c>
      <c r="D308" s="34">
        <f>IF(LEFT(VLOOKUP($A308,'Case-Specific'!$A$13:$E$85,5,0),21)='Auto Responses'!$A$32,'Auto Responses'!$A$33,VLOOKUP($A308,'Case-Specific'!$A$13:$E$85,4,0))&amp;""</f>
      </c>
      <c r="E308" s="325">
        <f>VLOOKUP($A308,'Case-Specific'!$A$13:$E$85,5,0)&amp;""</f>
      </c>
      <c r="F308" s="194"/>
      <c r="G308" s="30" t="str">
        <f>VLOOKUP($A308,Questions!$A$2:$X$333,21,0)&amp;""</f>
      </c>
      <c r="H308" s="184"/>
      <c r="I308" s="45" t="str">
        <f>VLOOKUP($A308,Questions!$A$2:$X$333,23,0)&amp;""</f>
      </c>
      <c r="J308" s="184"/>
      <c r="K308" s="49" t="b">
        <v>0</v>
      </c>
      <c r="L308" s="1"/>
    </row>
    <row r="309" spans="1:12" s="1" customFormat="1" ht="18" x14ac:dyDescent="0.15">
      <c r="A309" s="63" t="str">
        <f>VLOOKUP(LEFT($A310,4),'Auto Responses'!$N$4:$O$38,2,0)&amp;""</f>
        <v xml:space="preserve"> AI Qualifying Questions</v>
      </c>
      <c r="B309" s="22"/>
      <c r="C309" s="31"/>
      <c r="D309" s="31"/>
      <c r="E309" s="324"/>
      <c r="F309" s="361" t="s">
        <v>1030</v>
      </c>
      <c r="G309" s="328" t="s">
        <v>869</v>
      </c>
      <c r="H309" s="328" t="s">
        <v>871</v>
      </c>
      <c r="I309" s="328" t="s">
        <v>19</v>
      </c>
      <c r="J309" s="328" t="s">
        <v>856</v>
      </c>
      <c r="K309" s="328" t="s">
        <v>867</v>
      </c>
    </row>
    <row r="310" spans="1:12" s="29" customFormat="1" ht="51" x14ac:dyDescent="0.15">
      <c r="A310" s="19">
        <f>AI!$A$20</f>
      </c>
      <c r="B310" s="20">
        <f>VLOOKUP($A310,AI!$A$13:$E$55,2,0)&amp;""</f>
      </c>
      <c r="C310" s="45">
        <f>VLOOKUP($A310,AI!$A$13:$E$55,3,0)&amp;""</f>
      </c>
      <c r="D310" s="34">
        <f>IF(LEFT(VLOOKUP($A310,AI!$A$13:$E$55,5,0),21)='Auto Responses'!$A$32,'Auto Responses'!$A$33,VLOOKUP($A310,AI!$A$13:$E$55,4,0))&amp;""</f>
      </c>
      <c r="E310" s="323">
        <f>VLOOKUP($A310,AI!$A$13:$E$55,5,0)&amp;""</f>
      </c>
      <c r="F310" s="194"/>
      <c r="G310" s="30" t="str">
        <f>VLOOKUP($A310,Questions!$A$2:$X$333,21,0)&amp;""</f>
      </c>
      <c r="H310" s="184"/>
      <c r="I310" s="45" t="str">
        <f>VLOOKUP($A310,Questions!$A$2:$X$333,23,0)&amp;""</f>
      </c>
      <c r="J310" s="184"/>
      <c r="K310" s="48" t="b">
        <v>0</v>
      </c>
      <c r="L310" s="1"/>
    </row>
    <row r="311" spans="1:12" s="29" customFormat="1" ht="85" x14ac:dyDescent="0.15">
      <c r="A311" s="19" t="str">
        <f>AI!$A$21</f>
      </c>
      <c r="B311" s="20">
        <f>VLOOKUP($A311,AI!$A$13:$E$55,2,0)&amp;""</f>
      </c>
      <c r="C311" s="45">
        <f>VLOOKUP($A311,AI!$A$13:$E$55,3,0)&amp;""</f>
      </c>
      <c r="D311" s="34">
        <f>IF(LEFT(VLOOKUP($A311,AI!$A$13:$E$55,5,0),21)='Auto Responses'!$A$32,'Auto Responses'!$A$33,VLOOKUP($A311,AI!$A$13:$E$55,4,0))&amp;""</f>
      </c>
      <c r="E311" s="323">
        <f>VLOOKUP($A311,AI!$A$13:$E$55,5,0)&amp;""</f>
      </c>
      <c r="F311" s="194"/>
      <c r="G311" s="30" t="str">
        <f>VLOOKUP($A311,Questions!$A$2:$X$333,21,0)&amp;""</f>
      </c>
      <c r="H311" s="184"/>
      <c r="I311" s="45" t="str">
        <f>VLOOKUP($A311,Questions!$A$2:$X$333,23,0)&amp;""</f>
      </c>
      <c r="J311" s="184"/>
      <c r="K311" s="48" t="b">
        <v>0</v>
      </c>
      <c r="L311" s="1"/>
    </row>
    <row r="312" spans="1:12" s="1" customFormat="1" ht="18" x14ac:dyDescent="0.15">
      <c r="A312" s="63" t="str">
        <f>VLOOKUP(LEFT($A313,4),'Auto Responses'!$N$4:$O$38,2,0)&amp;""</f>
        <v xml:space="preserve"> General AI Questions</v>
      </c>
      <c r="B312" s="22"/>
      <c r="C312" s="31"/>
      <c r="D312" s="31"/>
      <c r="E312" s="324"/>
      <c r="F312" s="361" t="s">
        <v>1030</v>
      </c>
      <c r="G312" s="328" t="s">
        <v>869</v>
      </c>
      <c r="H312" s="328" t="s">
        <v>871</v>
      </c>
      <c r="I312" s="328" t="s">
        <v>19</v>
      </c>
      <c r="J312" s="328" t="s">
        <v>856</v>
      </c>
      <c r="K312" s="328" t="s">
        <v>867</v>
      </c>
    </row>
    <row r="313" spans="1:12" s="29" customFormat="1" ht="119" x14ac:dyDescent="0.15">
      <c r="A313" s="19">
        <f>AI!$A$23</f>
      </c>
      <c r="B313" s="20">
        <f>VLOOKUP($A313,AI!$A$13:$E$55,2,0)&amp;""</f>
      </c>
      <c r="C313" s="45">
        <f>VLOOKUP($A313,AI!$A$13:$E$55,3,0)&amp;""</f>
      </c>
      <c r="D313" s="34">
        <f>IF(LEFT(VLOOKUP($A313,AI!$A$13:$E$55,5,0),21)='Auto Responses'!$A$32,'Auto Responses'!$A$33,VLOOKUP($A313,AI!$A$13:$E$55,4,0))&amp;""</f>
      </c>
      <c r="E313" s="323">
        <f>VLOOKUP($A313,AI!$A$13:$E$55,5,0)&amp;""</f>
      </c>
      <c r="F313" s="194"/>
      <c r="G313" s="30" t="str">
        <f>VLOOKUP($A313,Questions!$A$2:$X$333,21,0)&amp;""</f>
      </c>
      <c r="H313" s="184"/>
      <c r="I313" s="45" t="str">
        <f>VLOOKUP($A313,Questions!$A$2:$X$333,23,0)&amp;""</f>
      </c>
      <c r="J313" s="184"/>
      <c r="K313" s="48" t="b">
        <v>0</v>
      </c>
      <c r="L313" s="1"/>
    </row>
    <row r="314" spans="1:12" s="29" customFormat="1" ht="85" x14ac:dyDescent="0.15">
      <c r="A314" s="19" t="str">
        <f>AI!$A$24</f>
      </c>
      <c r="B314" s="20">
        <f>VLOOKUP($A314,AI!$A$13:$E$55,2,0)&amp;""</f>
      </c>
      <c r="C314" s="45">
        <f>VLOOKUP($A314,AI!$A$13:$E$55,3,0)&amp;""</f>
      </c>
      <c r="D314" s="34">
        <f>IF(LEFT(VLOOKUP($A314,AI!$A$13:$E$55,5,0),21)='Auto Responses'!$A$32,'Auto Responses'!$A$33,VLOOKUP($A314,AI!$A$13:$E$55,4,0))&amp;""</f>
      </c>
      <c r="E314" s="323">
        <f>VLOOKUP($A314,AI!$A$13:$E$55,5,0)&amp;""</f>
      </c>
      <c r="F314" s="194"/>
      <c r="G314" s="30" t="str">
        <f>VLOOKUP($A314,Questions!$A$2:$X$333,21,0)&amp;""</f>
      </c>
      <c r="H314" s="184"/>
      <c r="I314" s="45" t="str">
        <f>VLOOKUP($A314,Questions!$A$2:$X$333,23,0)&amp;""</f>
      </c>
      <c r="J314" s="184"/>
      <c r="K314" s="48" t="b">
        <v>0</v>
      </c>
      <c r="L314" s="1"/>
    </row>
    <row r="315" spans="1:12" s="29" customFormat="1" ht="102" x14ac:dyDescent="0.15">
      <c r="A315" s="19" t="str">
        <f>AI!$A$25</f>
      </c>
      <c r="B315" s="20">
        <f>VLOOKUP($A315,AI!$A$13:$E$55,2,0)&amp;""</f>
      </c>
      <c r="C315" s="45">
        <f>VLOOKUP($A315,AI!$A$13:$E$55,3,0)&amp;""</f>
      </c>
      <c r="D315" s="34">
        <f>IF(LEFT(VLOOKUP($A315,AI!$A$13:$E$55,5,0),21)='Auto Responses'!$A$32,'Auto Responses'!$A$33,VLOOKUP($A315,AI!$A$13:$E$55,4,0))&amp;""</f>
      </c>
      <c r="E315" s="323">
        <f>VLOOKUP($A315,AI!$A$13:$E$55,5,0)&amp;""</f>
      </c>
      <c r="F315" s="194"/>
      <c r="G315" s="30" t="str">
        <f>VLOOKUP($A315,Questions!$A$2:$X$333,21,0)&amp;""</f>
      </c>
      <c r="H315" s="184"/>
      <c r="I315" s="45" t="str">
        <f>VLOOKUP($A315,Questions!$A$2:$X$333,23,0)&amp;""</f>
      </c>
      <c r="J315" s="184"/>
      <c r="K315" s="48" t="b">
        <v>0</v>
      </c>
      <c r="L315" s="1"/>
    </row>
    <row r="316" spans="1:12" s="29" customFormat="1" ht="404" x14ac:dyDescent="0.15">
      <c r="A316" s="19" t="str">
        <f>AI!$A$26</f>
      </c>
      <c r="B316" s="20">
        <f>VLOOKUP($A316,AI!$A$13:$E$55,2,0)&amp;""</f>
      </c>
      <c r="C316" s="299">
        <f>VLOOKUP($A316,AI!$A$13:$E$55,3,0)&amp;""</f>
      </c>
      <c r="D316" s="300">
        <f>IF(LEFT(VLOOKUP($A316,AI!$A$13:$E$55,5,0),21)='Auto Responses'!$A$32,'Auto Responses'!$A$33,VLOOKUP($A316,AI!$A$13:$E$55,4,0))&amp;""</f>
      </c>
      <c r="E316" s="323">
        <f>VLOOKUP($A316,AI!$A$13:$E$55,5,0)&amp;""</f>
      </c>
      <c r="F316" s="194"/>
      <c r="G316" s="30" t="str">
        <f>VLOOKUP($A316,Questions!$A$2:$X$333,21,0)&amp;""</f>
      </c>
      <c r="H316" s="184"/>
      <c r="I316" s="45" t="str">
        <f>VLOOKUP($A316,Questions!$A$2:$X$333,23,0)&amp;""</f>
      </c>
      <c r="J316" s="184"/>
      <c r="K316" s="48" t="b">
        <v>0</v>
      </c>
      <c r="L316" s="1"/>
    </row>
    <row r="317" spans="1:12" s="29" customFormat="1" ht="153" x14ac:dyDescent="0.15">
      <c r="A317" s="19" t="str">
        <f>AI!$A$27</f>
      </c>
      <c r="B317" s="20">
        <f>VLOOKUP($A317,AI!$A$13:$E$55,2,0)&amp;""</f>
      </c>
      <c r="C317" s="45">
        <f>VLOOKUP($A317,AI!$A$13:$E$55,3,0)&amp;""</f>
      </c>
      <c r="D317" s="34">
        <f>IF(LEFT(VLOOKUP($A317,AI!$A$13:$E$55,5,0),21)='Auto Responses'!$A$32,'Auto Responses'!$A$33,VLOOKUP($A317,AI!$A$13:$E$55,4,0))&amp;""</f>
      </c>
      <c r="E317" s="323">
        <f>VLOOKUP($A317,AI!$A$13:$E$55,5,0)&amp;""</f>
      </c>
      <c r="F317" s="194"/>
      <c r="G317" s="30" t="str">
        <f>VLOOKUP($A317,Questions!$A$2:$X$333,21,0)&amp;""</f>
      </c>
      <c r="H317" s="184"/>
      <c r="I317" s="45" t="str">
        <f>VLOOKUP($A317,Questions!$A$2:$X$333,23,0)&amp;""</f>
      </c>
      <c r="J317" s="184"/>
      <c r="K317" s="48" t="b">
        <v>0</v>
      </c>
      <c r="L317" s="1"/>
    </row>
    <row r="318" spans="1:12" s="1" customFormat="1" ht="18" x14ac:dyDescent="0.15">
      <c r="A318" s="63" t="str">
        <f>VLOOKUP(LEFT($A319,4),'Auto Responses'!$N$4:$O$38,2,0)&amp;""</f>
        <v xml:space="preserve"> AI Policy</v>
      </c>
      <c r="B318" s="22"/>
      <c r="C318" s="31"/>
      <c r="D318" s="31"/>
      <c r="E318" s="324"/>
      <c r="F318" s="361" t="s">
        <v>1030</v>
      </c>
      <c r="G318" s="328" t="s">
        <v>869</v>
      </c>
      <c r="H318" s="328" t="s">
        <v>871</v>
      </c>
      <c r="I318" s="328" t="s">
        <v>19</v>
      </c>
      <c r="J318" s="328" t="s">
        <v>856</v>
      </c>
      <c r="K318" s="328" t="s">
        <v>867</v>
      </c>
    </row>
    <row r="319" spans="1:12" s="29" customFormat="1" ht="119" x14ac:dyDescent="0.15">
      <c r="A319" s="19">
        <f>AI!$A$29</f>
      </c>
      <c r="B319" s="20">
        <f>VLOOKUP($A319,AI!$A$13:$E$55,2,0)&amp;""</f>
      </c>
      <c r="C319" s="45">
        <f>VLOOKUP($A319,AI!$A$13:$E$55,3,0)&amp;""</f>
      </c>
      <c r="D319" s="34">
        <f>IF(LEFT(VLOOKUP($A319,AI!$A$13:$E$55,5,0),21)='Auto Responses'!$A$32,'Auto Responses'!$A$33,VLOOKUP($A319,AI!$A$13:$E$55,4,0))&amp;""</f>
      </c>
      <c r="E319" s="323">
        <f>VLOOKUP($A319,AI!$A$13:$E$55,5,0)&amp;""</f>
      </c>
      <c r="F319" s="194"/>
      <c r="G319" s="30" t="str">
        <f>VLOOKUP($A319,Questions!$A$2:$X$333,21,0)&amp;""</f>
      </c>
      <c r="H319" s="184"/>
      <c r="I319" s="45" t="str">
        <f>VLOOKUP($A319,Questions!$A$2:$X$333,23,0)&amp;""</f>
      </c>
      <c r="J319" s="184"/>
      <c r="K319" s="48" t="b">
        <v>0</v>
      </c>
      <c r="L319" s="1"/>
    </row>
    <row r="320" spans="1:12" s="29" customFormat="1" ht="119" x14ac:dyDescent="0.15">
      <c r="A320" s="19" t="str">
        <f>AI!$A$30</f>
      </c>
      <c r="B320" s="20">
        <f>VLOOKUP($A320,AI!$A$13:$E$55,2,0)&amp;""</f>
      </c>
      <c r="C320" s="45">
        <f>VLOOKUP($A320,AI!$A$13:$E$55,3,0)&amp;""</f>
      </c>
      <c r="D320" s="34">
        <f>IF(LEFT(VLOOKUP($A320,AI!$A$13:$E$55,5,0),21)='Auto Responses'!$A$32,'Auto Responses'!$A$33,VLOOKUP($A320,AI!$A$13:$E$55,4,0))&amp;""</f>
      </c>
      <c r="E320" s="323">
        <f>VLOOKUP($A320,AI!$A$13:$E$55,5,0)&amp;""</f>
      </c>
      <c r="F320" s="194"/>
      <c r="G320" s="30" t="str">
        <f>VLOOKUP($A320,Questions!$A$2:$X$333,21,0)&amp;""</f>
      </c>
      <c r="H320" s="184"/>
      <c r="I320" s="45" t="str">
        <f>VLOOKUP($A320,Questions!$A$2:$X$333,23,0)&amp;""</f>
      </c>
      <c r="J320" s="184"/>
      <c r="K320" s="48" t="b">
        <v>0</v>
      </c>
      <c r="L320" s="1"/>
    </row>
    <row r="321" spans="1:12" s="29" customFormat="1" ht="136" x14ac:dyDescent="0.15">
      <c r="A321" s="19" t="str">
        <f>AI!$A$31</f>
      </c>
      <c r="B321" s="20">
        <f>VLOOKUP($A321,AI!$A$13:$E$55,2,0)&amp;""</f>
      </c>
      <c r="C321" s="45">
        <f>VLOOKUP($A321,AI!$A$13:$E$55,3,0)&amp;""</f>
      </c>
      <c r="D321" s="34">
        <f>IF(LEFT(VLOOKUP($A321,AI!$A$13:$E$55,5,0),21)='Auto Responses'!$A$32,'Auto Responses'!$A$33,VLOOKUP($A321,AI!$A$13:$E$55,4,0))&amp;""</f>
      </c>
      <c r="E321" s="323">
        <f>VLOOKUP($A321,AI!$A$13:$E$55,5,0)&amp;""</f>
      </c>
      <c r="F321" s="194"/>
      <c r="G321" s="30" t="str">
        <f>VLOOKUP($A321,Questions!$A$2:$X$333,21,0)&amp;""</f>
      </c>
      <c r="H321" s="184"/>
      <c r="I321" s="45" t="str">
        <f>VLOOKUP($A321,Questions!$A$2:$X$333,23,0)&amp;""</f>
      </c>
      <c r="J321" s="184"/>
      <c r="K321" s="48" t="b">
        <v>0</v>
      </c>
      <c r="L321" s="1"/>
    </row>
    <row r="322" spans="1:12" s="29" customFormat="1" ht="136" x14ac:dyDescent="0.15">
      <c r="A322" s="19" t="str">
        <f>AI!$A$32</f>
      </c>
      <c r="B322" s="20">
        <f>VLOOKUP($A322,AI!$A$13:$E$55,2,0)&amp;""</f>
      </c>
      <c r="C322" s="45">
        <f>VLOOKUP($A322,AI!$A$13:$E$55,3,0)&amp;""</f>
      </c>
      <c r="D322" s="34">
        <f>IF(LEFT(VLOOKUP($A322,AI!$A$13:$E$55,5,0),21)='Auto Responses'!$A$32,'Auto Responses'!$A$33,VLOOKUP($A322,AI!$A$13:$E$55,4,0))&amp;""</f>
      </c>
      <c r="E322" s="323">
        <f>VLOOKUP($A322,AI!$A$13:$E$55,5,0)&amp;""</f>
      </c>
      <c r="F322" s="194"/>
      <c r="G322" s="30" t="str">
        <f>VLOOKUP($A322,Questions!$A$2:$X$333,21,0)&amp;""</f>
      </c>
      <c r="H322" s="184"/>
      <c r="I322" s="45" t="str">
        <f>VLOOKUP($A322,Questions!$A$2:$X$333,23,0)&amp;""</f>
      </c>
      <c r="J322" s="184"/>
      <c r="K322" s="48" t="b">
        <v>0</v>
      </c>
      <c r="L322" s="1"/>
    </row>
    <row r="323" spans="1:12" s="29" customFormat="1" ht="136" x14ac:dyDescent="0.15">
      <c r="A323" s="19" t="str">
        <f>AI!$A$33</f>
      </c>
      <c r="B323" s="20">
        <f>VLOOKUP($A323,AI!$A$13:$E$55,2,0)&amp;""</f>
      </c>
      <c r="C323" s="45">
        <f>VLOOKUP($A323,AI!$A$13:$E$55,3,0)&amp;""</f>
      </c>
      <c r="D323" s="34">
        <f>IF(LEFT(VLOOKUP($A323,AI!$A$13:$E$55,5,0),21)='Auto Responses'!$A$32,'Auto Responses'!$A$33,VLOOKUP($A323,AI!$A$13:$E$55,4,0))&amp;""</f>
      </c>
      <c r="E323" s="323">
        <f>VLOOKUP($A323,AI!$A$13:$E$55,5,0)&amp;""</f>
      </c>
      <c r="F323" s="194"/>
      <c r="G323" s="30" t="str">
        <f>VLOOKUP($A323,Questions!$A$2:$X$333,21,0)&amp;""</f>
      </c>
      <c r="H323" s="184"/>
      <c r="I323" s="45" t="str">
        <f>VLOOKUP($A323,Questions!$A$2:$X$333,23,0)&amp;""</f>
      </c>
      <c r="J323" s="184"/>
      <c r="K323" s="48" t="b">
        <v>0</v>
      </c>
      <c r="L323" s="1"/>
    </row>
    <row r="324" spans="1:12" s="1" customFormat="1" ht="18" x14ac:dyDescent="0.15">
      <c r="A324" s="63" t="str">
        <f>VLOOKUP(LEFT($A325,4),'Auto Responses'!$N$4:$O$38,2,0)&amp;""</f>
        <v xml:space="preserve"> AI Data Security</v>
      </c>
      <c r="B324" s="22"/>
      <c r="C324" s="31"/>
      <c r="D324" s="31"/>
      <c r="E324" s="324"/>
      <c r="F324" s="361" t="s">
        <v>1030</v>
      </c>
      <c r="G324" s="328" t="s">
        <v>869</v>
      </c>
      <c r="H324" s="328" t="s">
        <v>871</v>
      </c>
      <c r="I324" s="328" t="s">
        <v>19</v>
      </c>
      <c r="J324" s="328" t="s">
        <v>856</v>
      </c>
      <c r="K324" s="328" t="s">
        <v>867</v>
      </c>
    </row>
    <row r="325" spans="1:12" s="29" customFormat="1" ht="153" x14ac:dyDescent="0.15">
      <c r="A325" s="19">
        <f>AI!$A$35</f>
      </c>
      <c r="B325" s="20">
        <f>VLOOKUP($A325,AI!$A$13:$E$55,2,0)&amp;""</f>
      </c>
      <c r="C325" s="45">
        <f>VLOOKUP($A325,AI!$A$13:$E$55,3,0)&amp;""</f>
      </c>
      <c r="D325" s="34">
        <f>IF(LEFT(VLOOKUP($A325,AI!$A$13:$E$55,5,0),21)='Auto Responses'!$A$32,'Auto Responses'!$A$33,VLOOKUP($A325,AI!$A$13:$E$55,4,0))&amp;""</f>
      </c>
      <c r="E325" s="323">
        <f>VLOOKUP($A325,AI!$A$13:$E$55,5,0)&amp;""</f>
      </c>
      <c r="F325" s="194"/>
      <c r="G325" s="30" t="str">
        <f>VLOOKUP($A325,Questions!$A$2:$X$333,21,0)&amp;""</f>
      </c>
      <c r="H325" s="184"/>
      <c r="I325" s="45" t="str">
        <f>VLOOKUP($A325,Questions!$A$2:$X$333,23,0)&amp;""</f>
      </c>
      <c r="J325" s="184"/>
      <c r="K325" s="48" t="b">
        <v>0</v>
      </c>
      <c r="L325" s="1"/>
    </row>
    <row r="326" spans="1:12" s="29" customFormat="1" ht="221" x14ac:dyDescent="0.15">
      <c r="A326" s="19" t="str">
        <f>AI!$A$36</f>
      </c>
      <c r="B326" s="20">
        <f>VLOOKUP($A326,AI!$A$13:$E$55,2,0)&amp;""</f>
      </c>
      <c r="C326" s="45">
        <f>VLOOKUP($A326,AI!$A$13:$E$55,3,0)&amp;""</f>
      </c>
      <c r="D326" s="34">
        <f>IF(LEFT(VLOOKUP($A326,AI!$A$13:$E$55,5,0),21)='Auto Responses'!$A$32,'Auto Responses'!$A$33,VLOOKUP($A326,AI!$A$13:$E$55,4,0))&amp;""</f>
      </c>
      <c r="E326" s="323">
        <f>VLOOKUP($A326,AI!$A$13:$E$55,5,0)&amp;""</f>
      </c>
      <c r="F326" s="194"/>
      <c r="G326" s="30" t="str">
        <f>VLOOKUP($A326,Questions!$A$2:$X$333,21,0)&amp;""</f>
      </c>
      <c r="H326" s="184"/>
      <c r="I326" s="45" t="str">
        <f>VLOOKUP($A326,Questions!$A$2:$X$333,23,0)&amp;""</f>
      </c>
      <c r="J326" s="184"/>
      <c r="K326" s="48" t="b">
        <v>0</v>
      </c>
      <c r="L326" s="1"/>
    </row>
    <row r="327" spans="1:12" s="29" customFormat="1" ht="136" x14ac:dyDescent="0.15">
      <c r="A327" s="19" t="str">
        <f>AI!$A$37</f>
      </c>
      <c r="B327" s="20">
        <f>VLOOKUP($A327,AI!$A$13:$E$55,2,0)&amp;""</f>
      </c>
      <c r="C327" s="45">
        <f>VLOOKUP($A327,AI!$A$13:$E$55,3,0)&amp;""</f>
      </c>
      <c r="D327" s="34">
        <f>IF(LEFT(VLOOKUP($A327,AI!$A$13:$E$55,5,0),21)='Auto Responses'!$A$32,'Auto Responses'!$A$33,VLOOKUP($A327,AI!$A$13:$E$55,4,0))&amp;""</f>
      </c>
      <c r="E327" s="323">
        <f>VLOOKUP($A327,AI!$A$13:$E$55,5,0)&amp;""</f>
      </c>
      <c r="F327" s="194"/>
      <c r="G327" s="30" t="str">
        <f>VLOOKUP($A327,Questions!$A$2:$X$333,21,0)&amp;""</f>
      </c>
      <c r="H327" s="184"/>
      <c r="I327" s="45" t="str">
        <f>VLOOKUP($A327,Questions!$A$2:$X$333,23,0)&amp;""</f>
      </c>
      <c r="J327" s="184"/>
      <c r="K327" s="48" t="b">
        <v>0</v>
      </c>
      <c r="L327" s="1"/>
    </row>
    <row r="328" spans="1:12" s="29" customFormat="1" ht="170" x14ac:dyDescent="0.15">
      <c r="A328" s="19" t="str">
        <f>AI!$A$38</f>
      </c>
      <c r="B328" s="20">
        <f>VLOOKUP($A328,AI!$A$13:$E$55,2,0)&amp;""</f>
      </c>
      <c r="C328" s="299">
        <f>VLOOKUP($A328,AI!$A$13:$E$55,3,0)&amp;""</f>
      </c>
      <c r="D328" s="300">
        <f>IF(LEFT(VLOOKUP($A328,AI!$A$13:$E$55,5,0),21)='Auto Responses'!$A$32,'Auto Responses'!$A$33,VLOOKUP($A328,AI!$A$13:$E$55,4,0))&amp;""</f>
      </c>
      <c r="E328" s="325">
        <f>VLOOKUP($A328,AI!$A$13:$E$55,5,0)&amp;""</f>
      </c>
      <c r="F328" s="194"/>
      <c r="G328" s="30" t="str">
        <f>VLOOKUP($A328,Questions!$A$2:$X$333,21,0)&amp;""</f>
      </c>
      <c r="H328" s="184"/>
      <c r="I328" s="45" t="str">
        <f>VLOOKUP($A328,Questions!$A$2:$X$333,23,0)&amp;""</f>
      </c>
      <c r="J328" s="184"/>
      <c r="K328" s="48" t="b">
        <v>0</v>
      </c>
      <c r="L328" s="1"/>
    </row>
    <row r="329" spans="1:12" s="29" customFormat="1" ht="85" x14ac:dyDescent="0.15">
      <c r="A329" s="19" t="str">
        <f>AI!$A$39</f>
      </c>
      <c r="B329" s="20">
        <f>VLOOKUP($A329,AI!$A$13:$E$55,2,0)&amp;""</f>
      </c>
      <c r="C329" s="45">
        <f>VLOOKUP($A329,AI!$A$13:$E$55,3,0)&amp;""</f>
      </c>
      <c r="D329" s="34">
        <f>IF(LEFT(VLOOKUP($A329,AI!$A$13:$E$55,5,0),21)='Auto Responses'!$A$32,'Auto Responses'!$A$33,VLOOKUP($A329,AI!$A$13:$E$55,4,0))&amp;""</f>
      </c>
      <c r="E329" s="323">
        <f>VLOOKUP($A329,AI!$A$13:$E$55,5,0)&amp;""</f>
      </c>
      <c r="F329" s="194"/>
      <c r="G329" s="30" t="str">
        <f>VLOOKUP($A329,Questions!$A$2:$X$333,21,0)&amp;""</f>
      </c>
      <c r="H329" s="184"/>
      <c r="I329" s="45" t="str">
        <f>VLOOKUP($A329,Questions!$A$2:$X$333,23,0)&amp;""</f>
      </c>
      <c r="J329" s="184"/>
      <c r="K329" s="48" t="b">
        <v>0</v>
      </c>
      <c r="L329" s="1"/>
    </row>
    <row r="330" spans="1:12" s="1" customFormat="1" ht="18" x14ac:dyDescent="0.15">
      <c r="A330" s="63" t="str">
        <f>VLOOKUP(LEFT($A331,4),'Auto Responses'!$N$4:$O$38,2,0)&amp;""</f>
        <v xml:space="preserve"> AI Machine Learning</v>
      </c>
      <c r="B330" s="22"/>
      <c r="C330" s="31"/>
      <c r="D330" s="31"/>
      <c r="E330" s="324"/>
      <c r="F330" s="361" t="s">
        <v>1030</v>
      </c>
      <c r="G330" s="328" t="s">
        <v>869</v>
      </c>
      <c r="H330" s="328" t="s">
        <v>871</v>
      </c>
      <c r="I330" s="328" t="s">
        <v>19</v>
      </c>
      <c r="J330" s="328" t="s">
        <v>856</v>
      </c>
      <c r="K330" s="328" t="s">
        <v>867</v>
      </c>
    </row>
    <row r="331" spans="1:12" s="29" customFormat="1" ht="85" x14ac:dyDescent="0.15">
      <c r="A331" s="19">
        <f>AI!$A$41</f>
      </c>
      <c r="B331" s="20">
        <f>VLOOKUP($A331,AI!$A$13:$E$55,2,0)&amp;""</f>
      </c>
      <c r="C331" s="45">
        <f>VLOOKUP($A331,AI!$A$13:$E$55,3,0)&amp;""</f>
      </c>
      <c r="D331" s="34">
        <f>IF(LEFT(VLOOKUP($A331,AI!$A$13:$E$55,5,0),21)='Auto Responses'!$A$32,'Auto Responses'!$A$33,VLOOKUP($A331,AI!$A$13:$E$55,4,0))&amp;""</f>
      </c>
      <c r="E331" s="323">
        <f>VLOOKUP($A331,AI!$A$13:$E$55,5,0)&amp;""</f>
      </c>
      <c r="F331" s="194"/>
      <c r="G331" s="30" t="str">
        <f>VLOOKUP($A331,Questions!$A$2:$X$333,21,0)&amp;""</f>
      </c>
      <c r="H331" s="184"/>
      <c r="I331" s="45" t="str">
        <f>VLOOKUP($A331,Questions!$A$2:$X$333,23,0)&amp;""</f>
      </c>
      <c r="J331" s="184"/>
      <c r="K331" s="48" t="b">
        <v>0</v>
      </c>
      <c r="L331" s="1"/>
    </row>
    <row r="332" spans="1:12" s="29" customFormat="1" ht="85" x14ac:dyDescent="0.15">
      <c r="A332" s="19" t="str">
        <f>AI!$A$42</f>
      </c>
      <c r="B332" s="20">
        <f>VLOOKUP($A332,AI!$A$13:$E$55,2,0)&amp;""</f>
      </c>
      <c r="C332" s="45">
        <f>VLOOKUP($A332,AI!$A$13:$E$55,3,0)&amp;""</f>
      </c>
      <c r="D332" s="34">
        <f>IF(LEFT(VLOOKUP($A332,AI!$A$13:$E$55,5,0),21)='Auto Responses'!$A$32,'Auto Responses'!$A$33,VLOOKUP($A332,AI!$A$13:$E$55,4,0))&amp;""</f>
      </c>
      <c r="E332" s="323">
        <f>VLOOKUP($A332,AI!$A$13:$E$55,5,0)&amp;""</f>
      </c>
      <c r="F332" s="194"/>
      <c r="G332" s="30" t="str">
        <f>VLOOKUP($A332,Questions!$A$2:$X$333,21,0)&amp;""</f>
      </c>
      <c r="H332" s="184"/>
      <c r="I332" s="45" t="str">
        <f>VLOOKUP($A332,Questions!$A$2:$X$333,23,0)&amp;""</f>
      </c>
      <c r="J332" s="184"/>
      <c r="K332" s="48" t="b">
        <v>0</v>
      </c>
      <c r="L332" s="1"/>
    </row>
    <row r="333" spans="1:12" s="29" customFormat="1" ht="85" x14ac:dyDescent="0.15">
      <c r="A333" s="19" t="str">
        <f>AI!$A$43</f>
      </c>
      <c r="B333" s="20">
        <f>VLOOKUP($A333,AI!$A$13:$E$55,2,0)&amp;""</f>
      </c>
      <c r="C333" s="45">
        <f>VLOOKUP($A333,AI!$A$13:$E$55,3,0)&amp;""</f>
      </c>
      <c r="D333" s="34">
        <f>IF(LEFT(VLOOKUP($A333,AI!$A$13:$E$55,5,0),21)='Auto Responses'!$A$32,'Auto Responses'!$A$33,VLOOKUP($A333,AI!$A$13:$E$55,4,0))&amp;""</f>
      </c>
      <c r="E333" s="323">
        <f>VLOOKUP($A333,AI!$A$13:$E$55,5,0)&amp;""</f>
      </c>
      <c r="F333" s="194"/>
      <c r="G333" s="30" t="str">
        <f>VLOOKUP($A333,Questions!$A$2:$X$333,21,0)&amp;""</f>
      </c>
      <c r="H333" s="184"/>
      <c r="I333" s="45" t="str">
        <f>VLOOKUP($A333,Questions!$A$2:$X$333,23,0)&amp;""</f>
      </c>
      <c r="J333" s="184"/>
      <c r="K333" s="48" t="b">
        <v>0</v>
      </c>
      <c r="L333" s="1"/>
    </row>
    <row r="334" spans="1:12" s="29" customFormat="1" ht="85" x14ac:dyDescent="0.15">
      <c r="A334" s="19" t="str">
        <f>AI!$A$44</f>
      </c>
      <c r="B334" s="20">
        <f>VLOOKUP($A334,AI!$A$13:$E$55,2,0)&amp;""</f>
      </c>
      <c r="C334" s="45">
        <f>VLOOKUP($A334,AI!$A$13:$E$55,3,0)&amp;""</f>
      </c>
      <c r="D334" s="34">
        <f>IF(LEFT(VLOOKUP($A334,AI!$A$13:$E$55,5,0),21)='Auto Responses'!$A$32,'Auto Responses'!$A$33,VLOOKUP($A334,AI!$A$13:$E$55,4,0))&amp;""</f>
      </c>
      <c r="E334" s="323">
        <f>VLOOKUP($A334,AI!$A$13:$E$55,5,0)&amp;""</f>
      </c>
      <c r="F334" s="194"/>
      <c r="G334" s="30" t="str">
        <f>VLOOKUP($A334,Questions!$A$2:$X$333,21,0)&amp;""</f>
      </c>
      <c r="H334" s="184"/>
      <c r="I334" s="45" t="str">
        <f>VLOOKUP($A334,Questions!$A$2:$X$333,23,0)&amp;""</f>
      </c>
      <c r="J334" s="184"/>
      <c r="K334" s="48" t="b">
        <v>0</v>
      </c>
      <c r="L334" s="1"/>
    </row>
    <row r="335" spans="1:12" s="29" customFormat="1" ht="85" x14ac:dyDescent="0.15">
      <c r="A335" s="19" t="str">
        <f>AI!$A$45</f>
      </c>
      <c r="B335" s="20">
        <f>VLOOKUP($A335,AI!$A$13:$E$55,2,0)&amp;""</f>
      </c>
      <c r="C335" s="45">
        <f>VLOOKUP($A335,AI!$A$13:$E$55,3,0)&amp;""</f>
      </c>
      <c r="D335" s="34">
        <f>IF(LEFT(VLOOKUP($A335,AI!$A$13:$E$55,5,0),21)='Auto Responses'!$A$32,'Auto Responses'!$A$33,VLOOKUP($A335,AI!$A$13:$E$55,4,0))&amp;""</f>
      </c>
      <c r="E335" s="323">
        <f>VLOOKUP($A335,AI!$A$13:$E$55,5,0)&amp;""</f>
      </c>
      <c r="F335" s="194"/>
      <c r="G335" s="30" t="str">
        <f>VLOOKUP($A335,Questions!$A$2:$X$333,21,0)&amp;""</f>
      </c>
      <c r="H335" s="184"/>
      <c r="I335" s="45" t="str">
        <f>VLOOKUP($A335,Questions!$A$2:$X$333,23,0)&amp;""</f>
      </c>
      <c r="J335" s="184"/>
      <c r="K335" s="48" t="b">
        <v>0</v>
      </c>
      <c r="L335" s="1"/>
    </row>
    <row r="336" spans="1:12" s="29" customFormat="1" ht="85" x14ac:dyDescent="0.15">
      <c r="A336" s="19" t="str">
        <f>AI!$A$46</f>
      </c>
      <c r="B336" s="20">
        <f>VLOOKUP($A336,AI!$A$13:$E$55,2,0)&amp;""</f>
      </c>
      <c r="C336" s="45">
        <f>VLOOKUP($A336,AI!$A$13:$E$55,3,0)&amp;""</f>
      </c>
      <c r="D336" s="34">
        <f>IF(LEFT(VLOOKUP($A336,AI!$A$13:$E$55,5,0),21)='Auto Responses'!$A$32,'Auto Responses'!$A$33,VLOOKUP($A336,AI!$A$13:$E$55,4,0))&amp;""</f>
      </c>
      <c r="E336" s="323">
        <f>VLOOKUP($A336,AI!$A$13:$E$55,5,0)&amp;""</f>
      </c>
      <c r="F336" s="194"/>
      <c r="G336" s="30" t="str">
        <f>VLOOKUP($A336,Questions!$A$2:$X$333,21,0)&amp;""</f>
      </c>
      <c r="H336" s="184"/>
      <c r="I336" s="45" t="str">
        <f>VLOOKUP($A336,Questions!$A$2:$X$333,23,0)&amp;""</f>
      </c>
      <c r="J336" s="184"/>
      <c r="K336" s="48" t="b">
        <v>0</v>
      </c>
      <c r="L336" s="1"/>
    </row>
    <row r="337" spans="1:14" s="29" customFormat="1" ht="85" x14ac:dyDescent="0.15">
      <c r="A337" s="19" t="str">
        <f>AI!$A$47</f>
      </c>
      <c r="B337" s="20">
        <f>VLOOKUP($A337,AI!$A$13:$E$55,2,0)&amp;""</f>
      </c>
      <c r="C337" s="45">
        <f>VLOOKUP($A337,AI!$A$13:$E$55,3,0)&amp;""</f>
      </c>
      <c r="D337" s="34">
        <f>IF(LEFT(VLOOKUP($A337,AI!$A$13:$E$55,5,0),21)='Auto Responses'!$A$32,'Auto Responses'!$A$33,VLOOKUP($A337,AI!$A$13:$E$55,4,0))&amp;""</f>
      </c>
      <c r="E337" s="323">
        <f>VLOOKUP($A337,AI!$A$13:$E$55,5,0)&amp;""</f>
      </c>
      <c r="F337" s="194"/>
      <c r="G337" s="30" t="str">
        <f>VLOOKUP($A337,Questions!$A$2:$X$333,21,0)&amp;""</f>
      </c>
      <c r="H337" s="184"/>
      <c r="I337" s="45" t="str">
        <f>VLOOKUP($A337,Questions!$A$2:$X$333,23,0)&amp;""</f>
      </c>
      <c r="J337" s="184"/>
      <c r="K337" s="48" t="b">
        <v>0</v>
      </c>
      <c r="L337" s="1"/>
    </row>
    <row r="338" spans="1:14" s="29" customFormat="1" ht="85" x14ac:dyDescent="0.15">
      <c r="A338" s="19" t="str">
        <f>AI!$A$48</f>
      </c>
      <c r="B338" s="20">
        <f>VLOOKUP($A338,AI!$A$13:$E$55,2,0)&amp;""</f>
      </c>
      <c r="C338" s="45">
        <f>VLOOKUP($A338,AI!$A$13:$E$55,3,0)&amp;""</f>
      </c>
      <c r="D338" s="34">
        <f>IF(LEFT(VLOOKUP($A338,AI!$A$13:$E$55,5,0),21)='Auto Responses'!$A$32,'Auto Responses'!$A$33,VLOOKUP($A338,AI!$A$13:$E$55,4,0))&amp;""</f>
      </c>
      <c r="E338" s="323">
        <f>VLOOKUP($A338,AI!$A$13:$E$55,5,0)&amp;""</f>
      </c>
      <c r="F338" s="194"/>
      <c r="G338" s="30" t="str">
        <f>VLOOKUP($A338,Questions!$A$2:$X$333,21,0)&amp;""</f>
      </c>
      <c r="H338" s="184"/>
      <c r="I338" s="45" t="str">
        <f>VLOOKUP($A338,Questions!$A$2:$X$333,23,0)&amp;""</f>
      </c>
      <c r="J338" s="184"/>
      <c r="K338" s="48" t="b">
        <v>0</v>
      </c>
      <c r="L338" s="1"/>
    </row>
    <row r="339" spans="1:14" s="1" customFormat="1" ht="18" x14ac:dyDescent="0.15">
      <c r="A339" s="63" t="str">
        <f>VLOOKUP(LEFT($A340,4),'Auto Responses'!$N$4:$O$38,2,0)&amp;""</f>
        <v xml:space="preserve"> AI Large Language Model (LLM)</v>
      </c>
      <c r="B339" s="22"/>
      <c r="C339" s="130"/>
      <c r="D339" s="31"/>
      <c r="E339" s="327"/>
      <c r="F339" s="361" t="s">
        <v>1030</v>
      </c>
      <c r="G339" s="328" t="s">
        <v>869</v>
      </c>
      <c r="H339" s="328" t="s">
        <v>871</v>
      </c>
      <c r="I339" s="328" t="s">
        <v>19</v>
      </c>
      <c r="J339" s="328" t="s">
        <v>856</v>
      </c>
      <c r="K339" s="328" t="s">
        <v>867</v>
      </c>
    </row>
    <row r="340" spans="1:14" s="29" customFormat="1" ht="204" x14ac:dyDescent="0.15">
      <c r="A340" s="19">
        <f>AI!$A$50</f>
      </c>
      <c r="B340" s="20">
        <f>VLOOKUP($A340,AI!$A$13:$E$55,2,0)&amp;""</f>
      </c>
      <c r="C340" s="45">
        <f>VLOOKUP($A340,AI!$A$13:$E$55,3,0)&amp;""</f>
      </c>
      <c r="D340" s="34">
        <f>IF(LEFT(VLOOKUP($A340,AI!$A$13:$E$55,5,0),21)='Auto Responses'!$A$32,'Auto Responses'!$A$33,VLOOKUP($A340,AI!$A$13:$E$55,4,0))&amp;""</f>
      </c>
      <c r="E340" s="323">
        <f>VLOOKUP($A340,AI!$A$13:$E$55,5,0)&amp;""</f>
      </c>
      <c r="F340" s="194"/>
      <c r="G340" s="30" t="str">
        <f>VLOOKUP($A340,Questions!$A$2:$X$333,21,0)&amp;""</f>
      </c>
      <c r="H340" s="184"/>
      <c r="I340" s="45" t="str">
        <f>VLOOKUP($A340,Questions!$A$2:$X$333,23,0)&amp;""</f>
      </c>
      <c r="J340" s="184"/>
      <c r="K340" s="48" t="b">
        <v>0</v>
      </c>
      <c r="L340" s="1"/>
    </row>
    <row r="341" spans="1:14" s="29" customFormat="1" ht="68" x14ac:dyDescent="0.15">
      <c r="A341" s="19" t="str">
        <f>AI!$A$51</f>
      </c>
      <c r="B341" s="20">
        <f>VLOOKUP($A341,AI!$A$13:$E$55,2,0)&amp;""</f>
      </c>
      <c r="C341" s="45">
        <f>VLOOKUP($A341,AI!$A$13:$E$55,3,0)&amp;""</f>
      </c>
      <c r="D341" s="34">
        <f>IF(LEFT(VLOOKUP($A341,AI!$A$13:$E$55,5,0),21)='Auto Responses'!$A$32,'Auto Responses'!$A$33,VLOOKUP($A341,AI!$A$13:$E$55,4,0))&amp;""</f>
      </c>
      <c r="E341" s="323">
        <f>VLOOKUP($A341,AI!$A$13:$E$55,5,0)&amp;""</f>
      </c>
      <c r="F341" s="194"/>
      <c r="G341" s="30" t="str">
        <f>VLOOKUP($A341,Questions!$A$2:$X$333,21,0)&amp;""</f>
      </c>
      <c r="H341" s="184"/>
      <c r="I341" s="45" t="str">
        <f>VLOOKUP($A341,Questions!$A$2:$X$333,23,0)&amp;""</f>
      </c>
      <c r="J341" s="184"/>
      <c r="K341" s="48" t="b">
        <v>0</v>
      </c>
      <c r="L341" s="1"/>
    </row>
    <row r="342" spans="1:14" s="29" customFormat="1" ht="136" x14ac:dyDescent="0.15">
      <c r="A342" s="19" t="str">
        <f>AI!$A$52</f>
      </c>
      <c r="B342" s="20">
        <f>VLOOKUP($A342,AI!$A$13:$E$55,2,0)&amp;""</f>
      </c>
      <c r="C342" s="45">
        <f>VLOOKUP($A342,AI!$A$13:$E$55,3,0)&amp;""</f>
      </c>
      <c r="D342" s="34">
        <f>IF(LEFT(VLOOKUP($A342,AI!$A$13:$E$55,5,0),21)='Auto Responses'!$A$32,'Auto Responses'!$A$33,VLOOKUP($A342,AI!$A$13:$E$55,4,0))&amp;""</f>
      </c>
      <c r="E342" s="323">
        <f>VLOOKUP($A342,AI!$A$13:$E$55,5,0)&amp;""</f>
      </c>
      <c r="F342" s="194"/>
      <c r="G342" s="30" t="str">
        <f>VLOOKUP($A342,Questions!$A$2:$X$333,21,0)&amp;""</f>
      </c>
      <c r="H342" s="184"/>
      <c r="I342" s="45" t="str">
        <f>VLOOKUP($A342,Questions!$A$2:$X$333,23,0)&amp;""</f>
      </c>
      <c r="J342" s="184"/>
      <c r="K342" s="48" t="b">
        <v>0</v>
      </c>
      <c r="L342" s="1"/>
    </row>
    <row r="343" spans="1:14" s="29" customFormat="1" ht="102" x14ac:dyDescent="0.15">
      <c r="A343" s="19" t="str">
        <f>AI!$A$53</f>
      </c>
      <c r="B343" s="20">
        <f>VLOOKUP($A343,AI!$A$13:$E$55,2,0)&amp;""</f>
      </c>
      <c r="C343" s="45">
        <f>VLOOKUP($A343,AI!$A$13:$E$55,3,0)&amp;""</f>
      </c>
      <c r="D343" s="34">
        <f>IF(LEFT(VLOOKUP($A343,AI!$A$13:$E$55,5,0),21)='Auto Responses'!$A$32,'Auto Responses'!$A$33,VLOOKUP($A343,AI!$A$13:$E$55,4,0))&amp;""</f>
      </c>
      <c r="E343" s="323">
        <f>VLOOKUP($A343,AI!$A$13:$E$55,5,0)&amp;""</f>
      </c>
      <c r="F343" s="194"/>
      <c r="G343" s="30" t="str">
        <f>VLOOKUP($A343,Questions!$A$2:$X$333,21,0)&amp;""</f>
      </c>
      <c r="H343" s="184"/>
      <c r="I343" s="45" t="str">
        <f>VLOOKUP($A343,Questions!$A$2:$X$333,23,0)&amp;""</f>
      </c>
      <c r="J343" s="184"/>
      <c r="K343" s="48" t="b">
        <v>0</v>
      </c>
      <c r="L343" s="1"/>
    </row>
    <row r="344" spans="1:14" s="29" customFormat="1" ht="119" x14ac:dyDescent="0.15">
      <c r="A344" s="19" t="str">
        <f>AI!$A$54</f>
      </c>
      <c r="B344" s="20">
        <f>VLOOKUP($A344,AI!$A$13:$E$55,2,0)&amp;""</f>
      </c>
      <c r="C344" s="45">
        <f>VLOOKUP($A344,AI!$A$13:$E$55,3,0)&amp;""</f>
      </c>
      <c r="D344" s="34">
        <f>IF(LEFT(VLOOKUP($A344,AI!$A$13:$E$55,5,0),21)='Auto Responses'!$A$32,'Auto Responses'!$A$33,VLOOKUP($A344,AI!$A$13:$E$55,4,0))&amp;""</f>
      </c>
      <c r="E344" s="323">
        <f>VLOOKUP($A344,AI!$A$13:$E$55,5,0)&amp;""</f>
      </c>
      <c r="F344" s="194"/>
      <c r="G344" s="30" t="str">
        <f>VLOOKUP($A344,Questions!$A$2:$X$333,21,0)&amp;""</f>
      </c>
      <c r="H344" s="184"/>
      <c r="I344" s="45" t="str">
        <f>VLOOKUP($A344,Questions!$A$2:$X$333,23,0)&amp;""</f>
      </c>
      <c r="J344" s="184"/>
      <c r="K344" s="48" t="b">
        <v>0</v>
      </c>
      <c r="L344" s="1"/>
    </row>
    <row r="345" spans="1:14" s="29" customFormat="1" ht="119" x14ac:dyDescent="0.15">
      <c r="A345" s="19" t="str">
        <f>AI!$A$55</f>
      </c>
      <c r="B345" s="20">
        <f>VLOOKUP($A345,AI!$A$13:$E$55,2,0)&amp;""</f>
      </c>
      <c r="C345" s="45">
        <f>VLOOKUP($A345,AI!$A$13:$E$55,3,0)&amp;""</f>
      </c>
      <c r="D345" s="34">
        <f>IF(LEFT(VLOOKUP($A345,AI!$A$13:$E$55,5,0),21)='Auto Responses'!$A$32,'Auto Responses'!$A$33,VLOOKUP($A345,AI!$A$13:$E$55,4,0))&amp;""</f>
      </c>
      <c r="E345" s="323">
        <f>VLOOKUP($A345,AI!$A$13:$E$55,5,0)&amp;""</f>
      </c>
      <c r="F345" s="194"/>
      <c r="G345" s="30" t="str">
        <f>VLOOKUP($A345,Questions!$A$2:$X$333,21,0)&amp;""</f>
      </c>
      <c r="H345" s="184"/>
      <c r="I345" s="45" t="str">
        <f>VLOOKUP($A345,Questions!$A$2:$X$333,23,0)&amp;""</f>
      </c>
      <c r="J345" s="184"/>
      <c r="K345" s="48" t="b">
        <v>0</v>
      </c>
      <c r="L345" s="1"/>
      <c r="N345" s="235" t="s">
        <v>1448</v>
      </c>
    </row>
    <row r="346" spans="1:14" ht="42" customHeight="1" x14ac:dyDescent="0.2">
      <c r="A346" s="262" t="s">
        <v>1505</v>
      </c>
    </row>
    <row r="347" spans="1:14" ht="15" hidden="1" customHeight="1" x14ac:dyDescent="0.2"/>
    <row r="348" spans="1:14" ht="15" hidden="1" customHeight="1" x14ac:dyDescent="0.2"/>
    <row r="349" spans="1:14" ht="15" hidden="1" customHeight="1" x14ac:dyDescent="0.2"/>
    <row r="350" spans="1:14" ht="15" hidden="1" customHeight="1" x14ac:dyDescent="0.2"/>
    <row r="351" spans="1:14" ht="15" hidden="1" customHeight="1" x14ac:dyDescent="0.2"/>
    <row r="352" spans="1:14"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G56:G345 A44:E346" xr:uid="{42C50130-3A57-4C1D-932F-FE42EF919690}"/>
  </dataValidations>
  <hyperlinks>
    <hyperlink ref="G21" location="'Institution Evaluation'!A65" display="'Institution Evaluation'!A65" xr:uid="{9BB6B783-2D5B-429A-A38D-F31024220AC6}"/>
    <hyperlink ref="G38" location="'Institution Evaluation'!A312" display="'Institution Evaluation'!A312"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For full instructions, visit the HECVAT website." xr:uid="{CA4B97E8-4BB8-44D3-873F-D2FA5808C236}"/>
    <hyperlink ref="A52" r:id="rId2" display="For full instructions, visit the HECVAT website." xr:uid="{C50E9FB8-ECD0-41CB-A4B7-EF5F93086563}"/>
    <hyperlink ref="G22:G37" location="_x001c_'Institution Evaluation'!A66" display="Jump to Documentation section"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baseColWidth="10" defaultColWidth="0" defaultRowHeight="16" zeroHeight="1" x14ac:dyDescent="0.2"/>
  <cols>
    <col min="1" max="1" width="8.125" style="55" customWidth="1"/>
    <col min="2" max="2" width="21.625" style="55" customWidth="1"/>
    <col min="3" max="3" width="27.625" style="55" customWidth="1"/>
    <col min="4" max="4" width="21.5" style="55" bestFit="1" customWidth="1"/>
    <col min="5" max="5" width="21.375" style="55" bestFit="1" customWidth="1"/>
    <col min="6" max="6" width="17" style="55" customWidth="1"/>
    <col min="7" max="7" width="2.25" style="55" customWidth="1"/>
    <col min="8" max="8" width="6.5" style="55" customWidth="1"/>
    <col min="9" max="9" width="8.375" style="55" bestFit="1" customWidth="1"/>
    <col min="10" max="10" width="31.125" style="55" customWidth="1"/>
    <col min="11" max="13" width="22.625" style="55" customWidth="1"/>
    <col min="14" max="14" width="8.5" style="55" customWidth="1"/>
    <col min="15" max="16" width="8.25" style="55" hidden="1" customWidth="1"/>
    <col min="17" max="17" width="8.375" style="55" hidden="1" customWidth="1"/>
    <col min="18" max="24" width="8.5" style="55" hidden="1" customWidth="1"/>
    <col min="25" max="25" width="8.375" style="55" hidden="1" customWidth="1"/>
    <col min="26" max="26" width="8.25" style="55" hidden="1" customWidth="1"/>
    <col min="27" max="28" width="8.5" style="55" hidden="1" customWidth="1"/>
    <col min="29" max="29" width="8.25" style="55" hidden="1" customWidth="1"/>
    <col min="30" max="30" width="8.5" style="55" hidden="1" customWidth="1"/>
    <col min="31" max="32" width="8.375" style="55" hidden="1" customWidth="1"/>
    <col min="33" max="34" width="8.5" style="55" hidden="1" customWidth="1"/>
    <col min="35" max="35" width="10.625" style="55" hidden="1" customWidth="1"/>
    <col min="36" max="43" width="8.5" style="55" hidden="1" customWidth="1"/>
    <col min="44" max="46" width="8.375" style="55" hidden="1" customWidth="1"/>
    <col min="47" max="47" width="8.5" style="55" hidden="1" customWidth="1"/>
    <col min="48" max="48" width="8.375" style="55" hidden="1" customWidth="1"/>
    <col min="49" max="53" width="8.5" style="55" hidden="1" customWidth="1"/>
    <col min="54" max="54" width="8.625" style="55" hidden="1" customWidth="1"/>
    <col min="55" max="55" width="8.5" style="55" hidden="1" customWidth="1"/>
    <col min="56" max="56" width="8.25" style="55" hidden="1" customWidth="1"/>
    <col min="57" max="57" width="8.5" style="55" hidden="1" customWidth="1"/>
    <col min="58" max="60" width="8.375" style="55" hidden="1" customWidth="1"/>
    <col min="61" max="63" width="8.5" style="55" hidden="1" customWidth="1"/>
    <col min="64" max="64" width="17.375" style="55" hidden="1" customWidth="1"/>
    <col min="65" max="68" width="8.5" style="55" hidden="1" customWidth="1"/>
    <col min="69" max="70" width="8.375" style="55" hidden="1" customWidth="1"/>
    <col min="71" max="90" width="8.5" style="55" hidden="1" customWidth="1"/>
    <col min="91" max="91" width="11.5" style="55" hidden="1" customWidth="1"/>
    <col min="92" max="94" width="8.5" style="55" hidden="1" customWidth="1"/>
    <col min="95" max="95" width="8.375" style="55" hidden="1" customWidth="1"/>
    <col min="96" max="96" width="11.375" style="55" hidden="1" customWidth="1"/>
    <col min="97" max="97" width="8.5" style="55" hidden="1" customWidth="1"/>
    <col min="98" max="98" width="8.25" style="55" hidden="1" customWidth="1"/>
    <col min="99" max="100" width="8.375" style="55" hidden="1" customWidth="1"/>
    <col min="101" max="102" width="8.5" style="55" hidden="1" customWidth="1"/>
    <col min="103" max="103" width="8.875" style="55" hidden="1" customWidth="1"/>
    <col min="104" max="109" width="8.5" style="55" hidden="1" customWidth="1"/>
    <col min="110" max="111" width="8.375" style="55" hidden="1" customWidth="1"/>
    <col min="112" max="114" width="8.5" style="55" hidden="1" customWidth="1"/>
    <col min="115" max="116" width="8.375" style="55" hidden="1" customWidth="1"/>
    <col min="117" max="117" width="8.5" style="55" hidden="1" customWidth="1"/>
    <col min="118" max="118" width="8.375" style="55" hidden="1" customWidth="1"/>
    <col min="119" max="119" width="10.875" style="55" hidden="1" customWidth="1"/>
    <col min="120" max="124" width="8.5" style="55" hidden="1" customWidth="1"/>
    <col min="125" max="125" width="9" style="55" hidden="1" customWidth="1"/>
    <col min="126" max="128" width="8.5" style="55" hidden="1" customWidth="1"/>
    <col min="129" max="129" width="8.375" style="55" hidden="1" customWidth="1"/>
    <col min="130" max="133" width="8.5" style="55" hidden="1" customWidth="1"/>
    <col min="134" max="134" width="10.625" style="55" hidden="1" customWidth="1"/>
    <col min="135" max="135" width="8.375" style="55" hidden="1" customWidth="1"/>
    <col min="136" max="138" width="8.5" style="55" hidden="1" customWidth="1"/>
    <col min="139" max="140" width="8.375" style="55" hidden="1" customWidth="1"/>
    <col min="141" max="145" width="8.5" style="55" hidden="1" customWidth="1"/>
    <col min="146" max="146" width="8.375" style="55" hidden="1" customWidth="1"/>
    <col min="147" max="148" width="8.5" style="55" hidden="1" customWidth="1"/>
    <col min="149" max="149" width="8.375" style="55" hidden="1" customWidth="1"/>
    <col min="150" max="151" width="8.5" style="55" hidden="1" customWidth="1"/>
    <col min="152" max="152" width="8.25" style="55" hidden="1" customWidth="1"/>
    <col min="153" max="155" width="8.5" style="55" hidden="1" customWidth="1"/>
    <col min="156" max="156" width="8.375" style="55" hidden="1" customWidth="1"/>
    <col min="157" max="157" width="14.625" style="55" hidden="1" customWidth="1"/>
    <col min="158" max="158" width="8.375" style="55" hidden="1" customWidth="1"/>
    <col min="159" max="159" width="12.375" style="55" hidden="1" customWidth="1"/>
    <col min="160" max="161" width="8.5" style="55" hidden="1" customWidth="1"/>
    <col min="162" max="162" width="8.375" style="55" hidden="1" customWidth="1"/>
    <col min="163" max="164" width="8.5" style="55" hidden="1" customWidth="1"/>
    <col min="165" max="165" width="8" style="55" hidden="1" customWidth="1"/>
    <col min="166" max="166" width="8.5" style="55" hidden="1" customWidth="1"/>
    <col min="167" max="167" width="8.375" style="55" hidden="1" customWidth="1"/>
    <col min="168" max="169" width="8.5" style="55" hidden="1" customWidth="1"/>
    <col min="170" max="170" width="9" style="55" hidden="1" customWidth="1"/>
    <col min="171" max="171" width="8.25" style="55" hidden="1" customWidth="1"/>
    <col min="172" max="172" width="8.375" style="55" hidden="1" customWidth="1"/>
    <col min="173" max="173" width="8.5" style="55" hidden="1" customWidth="1"/>
    <col min="174" max="174" width="8.375" style="55" hidden="1" customWidth="1"/>
    <col min="175" max="175" width="8.5" style="55" hidden="1" customWidth="1"/>
    <col min="176" max="176" width="8.375" style="55" hidden="1" customWidth="1"/>
    <col min="177" max="177" width="8.25" style="55" hidden="1" customWidth="1"/>
    <col min="178" max="179" width="8.5" style="55" hidden="1" customWidth="1"/>
    <col min="180" max="180" width="8.25" style="55" hidden="1" customWidth="1"/>
    <col min="181" max="181" width="8.375" style="55" hidden="1" customWidth="1"/>
    <col min="182" max="183" width="8.5" style="55" hidden="1" customWidth="1"/>
    <col min="184" max="184" width="11.875" style="55" hidden="1" customWidth="1"/>
    <col min="185" max="185" width="9.125" style="55" hidden="1" customWidth="1"/>
    <col min="186" max="186" width="8.5" style="55" hidden="1" customWidth="1"/>
    <col min="187" max="187" width="10.25" style="55" hidden="1" customWidth="1"/>
    <col min="188" max="190" width="8.5" style="55" hidden="1" customWidth="1"/>
    <col min="191" max="191" width="8.375" style="55" hidden="1" customWidth="1"/>
    <col min="192" max="192" width="8.5" style="55" hidden="1" customWidth="1"/>
    <col min="193" max="193" width="8.25" style="55" hidden="1" customWidth="1"/>
    <col min="194" max="194" width="8.375" style="55" hidden="1" customWidth="1"/>
    <col min="195" max="198" width="8.5" style="55" hidden="1" customWidth="1"/>
    <col min="199" max="201" width="8.375" style="55" hidden="1" customWidth="1"/>
    <col min="202" max="202" width="8.5" style="55" hidden="1" customWidth="1"/>
    <col min="203" max="206" width="8.375" style="55" hidden="1" customWidth="1"/>
    <col min="207" max="209" width="8.5" style="55" hidden="1" customWidth="1"/>
    <col min="210" max="210" width="8.125" style="55" hidden="1" customWidth="1"/>
    <col min="211" max="211" width="8.5" style="55" hidden="1" customWidth="1"/>
    <col min="212" max="213" width="8.375" style="55" hidden="1" customWidth="1"/>
    <col min="214" max="214" width="7.875" style="55" hidden="1" customWidth="1"/>
    <col min="215" max="216" width="8.5" style="55" hidden="1" customWidth="1"/>
    <col min="217" max="217" width="8.375" style="55" hidden="1" customWidth="1"/>
    <col min="218" max="219" width="8.5" style="55" hidden="1" customWidth="1"/>
    <col min="220" max="220" width="8.375" style="55" hidden="1" customWidth="1"/>
    <col min="221" max="221" width="8.25" style="55" hidden="1" customWidth="1"/>
    <col min="222" max="222" width="8.375" style="55" hidden="1" customWidth="1"/>
    <col min="223" max="224" width="8.5" style="55" hidden="1" customWidth="1"/>
    <col min="225" max="225" width="8.375" style="55" hidden="1" customWidth="1"/>
    <col min="226" max="227" width="8.5" style="55" hidden="1" customWidth="1"/>
    <col min="228" max="231" width="8.375" style="55" hidden="1" customWidth="1"/>
    <col min="232" max="233" width="8.5" style="55" hidden="1" customWidth="1"/>
    <col min="234" max="234" width="8.375" style="55" hidden="1" customWidth="1"/>
    <col min="235" max="235" width="8.25" style="55" hidden="1" customWidth="1"/>
    <col min="236" max="236" width="8.375" style="55" hidden="1" customWidth="1"/>
    <col min="237" max="237" width="8.5" style="55" hidden="1" customWidth="1"/>
    <col min="238" max="238" width="8.25" style="55" hidden="1" customWidth="1"/>
    <col min="239" max="242" width="8.375" style="55" hidden="1" customWidth="1"/>
    <col min="243" max="243" width="10.125" style="55" hidden="1" customWidth="1"/>
    <col min="244" max="244" width="8.375" style="55" hidden="1" customWidth="1"/>
    <col min="245" max="249" width="8.5" style="55" hidden="1" customWidth="1"/>
    <col min="250" max="250" width="8.375" style="55" hidden="1" customWidth="1"/>
    <col min="251" max="254" width="8.5" style="55" hidden="1" customWidth="1"/>
    <col min="255" max="256" width="8.375" style="55" hidden="1" customWidth="1"/>
    <col min="257" max="259" width="8.5" style="55" hidden="1" customWidth="1"/>
    <col min="260" max="261" width="8.375" style="55" hidden="1" customWidth="1"/>
    <col min="262" max="263" width="8.5" style="55" hidden="1" customWidth="1"/>
    <col min="264" max="264" width="8.25" style="55" hidden="1" customWidth="1"/>
    <col min="265" max="265" width="8.5" style="55" hidden="1" customWidth="1"/>
    <col min="266" max="266" width="8.375" style="55" hidden="1" customWidth="1"/>
    <col min="267" max="267" width="8.5" style="55" hidden="1" customWidth="1"/>
    <col min="268" max="268" width="8.875" style="55" hidden="1" customWidth="1"/>
    <col min="269" max="269" width="10.375" style="55" hidden="1" customWidth="1"/>
    <col min="270" max="270" width="8.5" style="55" hidden="1" customWidth="1"/>
    <col min="271" max="273" width="8.375" style="55" hidden="1" customWidth="1"/>
    <col min="274" max="276" width="8.5" style="55" hidden="1" customWidth="1"/>
    <col min="277" max="277" width="8.25" style="55" hidden="1" customWidth="1"/>
    <col min="278" max="278" width="8.375" style="55" hidden="1" customWidth="1"/>
    <col min="279" max="282" width="8.5" style="55" hidden="1" customWidth="1"/>
    <col min="283" max="283" width="8.25" style="55" hidden="1" customWidth="1"/>
    <col min="284" max="284" width="8.375" style="55" hidden="1" customWidth="1"/>
    <col min="285" max="286" width="8.25" style="55" hidden="1" customWidth="1"/>
    <col min="287" max="288" width="8.375" style="55" hidden="1" customWidth="1"/>
    <col min="289" max="295" width="8.5" style="55" hidden="1" customWidth="1"/>
    <col min="296" max="296" width="8.125" style="55" hidden="1" customWidth="1"/>
    <col min="297" max="297" width="8.5" style="55" hidden="1" customWidth="1"/>
    <col min="298" max="298" width="7.875" style="55" hidden="1" customWidth="1"/>
    <col min="299" max="300" width="8.5" style="55" hidden="1" customWidth="1"/>
    <col min="301" max="308" width="8.25" style="55" hidden="1" customWidth="1"/>
    <col min="309" max="309" width="7.625" style="55" hidden="1" customWidth="1"/>
    <col min="310" max="310" width="8.375" style="55" hidden="1" customWidth="1"/>
    <col min="311" max="311" width="8.25" style="55" hidden="1" customWidth="1"/>
    <col min="312" max="313" width="8.375" style="55" hidden="1" customWidth="1"/>
    <col min="314" max="314" width="8.5" style="55" hidden="1" customWidth="1"/>
    <col min="315" max="315" width="8.375" style="55" hidden="1" customWidth="1"/>
    <col min="316" max="316" width="8.5" style="55" hidden="1" customWidth="1"/>
    <col min="317" max="318" width="8.375" style="55" hidden="1" customWidth="1"/>
    <col min="319" max="319" width="8.5" style="55" hidden="1" customWidth="1"/>
    <col min="320" max="321" width="8.375" style="55" hidden="1" customWidth="1"/>
    <col min="322" max="324" width="8.5" style="55" hidden="1" customWidth="1"/>
    <col min="325" max="325" width="8.375" style="55" hidden="1" customWidth="1"/>
    <col min="326" max="329" width="8.5" style="55" hidden="1" customWidth="1"/>
    <col min="330" max="330" width="9.375" style="55" hidden="1" customWidth="1"/>
    <col min="331" max="334" width="8.5" style="55" hidden="1" customWidth="1"/>
    <col min="335" max="335" width="8.375" style="55" hidden="1" customWidth="1"/>
    <col min="336" max="336" width="8.5" style="55" hidden="1" customWidth="1"/>
    <col min="337" max="337" width="8.375" style="55" hidden="1" customWidth="1"/>
    <col min="338" max="338" width="6.5" style="55" hidden="1" customWidth="1"/>
    <col min="339" max="16384" width="8.5" style="55" hidden="1"/>
  </cols>
  <sheetData>
    <row r="1" spans="1:13" hidden="1" x14ac:dyDescent="0.2">
      <c r="A1" s="237" t="s">
        <v>1451</v>
      </c>
    </row>
    <row r="2" spans="1:13" ht="36" customHeight="1" x14ac:dyDescent="0.2">
      <c r="A2" s="175" t="s">
        <v>1477</v>
      </c>
      <c r="B2" s="175"/>
      <c r="C2" s="175"/>
      <c r="D2" s="175"/>
      <c r="E2" s="175"/>
      <c r="F2" s="175"/>
      <c r="G2" s="175"/>
      <c r="H2" s="175"/>
      <c r="I2" s="176"/>
      <c r="J2" s="176"/>
      <c r="K2" s="176" t="str">
        <f>'Auto Responses'!$A$36</f>
      </c>
      <c r="L2" s="176"/>
      <c r="M2" s="176"/>
    </row>
    <row r="3" spans="1:13" ht="22.5" customHeight="1" x14ac:dyDescent="0.2">
      <c r="A3" s="97"/>
      <c r="B3" s="97"/>
      <c r="C3" s="97"/>
      <c r="D3" s="97"/>
      <c r="E3" s="97"/>
      <c r="F3" s="97"/>
      <c r="G3" s="97"/>
      <c r="H3" s="97"/>
      <c r="I3" s="97"/>
      <c r="J3" s="97"/>
      <c r="K3" s="97"/>
      <c r="L3" s="97"/>
      <c r="M3" s="97"/>
    </row>
    <row r="4" spans="1:13" ht="36" customHeight="1" x14ac:dyDescent="0.2">
      <c r="A4" s="98" t="s">
        <v>1401</v>
      </c>
      <c r="B4" s="99"/>
      <c r="C4" s="99"/>
      <c r="D4" s="99"/>
      <c r="E4" s="99"/>
      <c r="F4" s="99"/>
      <c r="G4" s="99"/>
      <c r="H4" s="99"/>
      <c r="I4" s="99"/>
      <c r="J4" s="99"/>
      <c r="K4" s="99"/>
      <c r="L4" s="99"/>
      <c r="M4" s="99"/>
    </row>
    <row r="5" spans="1:13" ht="19.5" customHeight="1" x14ac:dyDescent="0.2">
      <c r="A5" s="290" t="str">
        <f>HLOOKUP($A$4,'Auto Responses'!$H$2:$H$5,2,0)&amp;""</f>
        <v xml:space="preserve">1. The scorecard below reflects those questions marked as "Critical Importance" or those where the "Non-Negotiable" box was checked. </v>
      </c>
      <c r="B5" s="164"/>
      <c r="C5" s="164"/>
      <c r="D5" s="164"/>
      <c r="E5" s="164"/>
      <c r="F5" s="164"/>
      <c r="G5" s="164"/>
      <c r="H5" s="164"/>
      <c r="I5" s="164"/>
      <c r="J5" s="61"/>
      <c r="K5" s="61"/>
      <c r="L5" s="61"/>
      <c r="M5" s="61"/>
    </row>
    <row r="6" spans="1:13" s="234" customFormat="1" ht="19.5" customHeight="1" x14ac:dyDescent="0.2">
      <c r="A6" s="290" t="str">
        <f>HLOOKUP($A$4,'Auto Responses'!$H$2:$H$5,3,0)&amp;""</f>
        <v xml:space="preserve">2. Use these condensed, aggregated views to review those questions that pose the highest risk. </v>
      </c>
      <c r="B6" s="290"/>
      <c r="C6" s="290"/>
      <c r="D6" s="290"/>
      <c r="E6" s="290"/>
      <c r="F6" s="290"/>
      <c r="G6" s="290"/>
      <c r="H6" s="290"/>
      <c r="I6" s="290"/>
      <c r="J6" s="291"/>
      <c r="K6" s="291"/>
      <c r="L6" s="291"/>
      <c r="M6" s="291"/>
    </row>
    <row r="7" spans="1:13" ht="19.5" customHeight="1" x14ac:dyDescent="0.2">
      <c r="A7" s="290" t="str">
        <f>HLOOKUP($A$4,'Auto Responses'!$H$2:$H$5,4,0)&amp;""</f>
      </c>
      <c r="B7" s="164"/>
      <c r="C7" s="164"/>
      <c r="D7" s="164"/>
      <c r="E7" s="164"/>
      <c r="F7" s="164"/>
      <c r="G7" s="164"/>
      <c r="H7" s="164"/>
      <c r="I7" s="164"/>
      <c r="J7" s="61"/>
      <c r="K7" s="61"/>
      <c r="L7" s="61"/>
      <c r="M7" s="61"/>
    </row>
    <row r="8" spans="1:13" ht="19.5" customHeight="1" thickBot="1" x14ac:dyDescent="0.25">
      <c r="A8" s="360" t="s">
        <v>1522</v>
      </c>
      <c r="B8" s="164"/>
      <c r="C8" s="164"/>
      <c r="D8" s="164"/>
      <c r="E8" s="164"/>
      <c r="F8" s="164"/>
      <c r="G8" s="164"/>
      <c r="H8" s="164"/>
      <c r="I8" s="164"/>
      <c r="J8" s="61"/>
      <c r="K8" s="61"/>
      <c r="L8" s="61"/>
      <c r="M8" s="61"/>
    </row>
    <row r="9" spans="1:13" s="88" customFormat="1" ht="25.5" customHeight="1" x14ac:dyDescent="0.2">
      <c r="A9" s="155" t="str">
        <f>'START HERE'!$B$13</f>
      </c>
      <c r="B9" s="141"/>
      <c r="C9" s="135" t="str">
        <f>VLOOKUP($A9,'START HERE'!$B$13:$C$21,2,0)&amp;""</f>
      </c>
      <c r="D9" s="136"/>
      <c r="E9" s="137"/>
      <c r="F9" s="89"/>
      <c r="G9" s="89"/>
      <c r="H9" s="94"/>
      <c r="I9" s="89"/>
      <c r="J9" s="89"/>
    </row>
    <row r="10" spans="1:13" s="88" customFormat="1" ht="25.5" customHeight="1" x14ac:dyDescent="0.2">
      <c r="A10" s="156" t="str">
        <f>'START HERE'!$B$16</f>
      </c>
      <c r="B10" s="142"/>
      <c r="C10" s="134" t="str">
        <f>VLOOKUP($A10,'START HERE'!$B$13:$C$21,2,0)&amp;""</f>
      </c>
      <c r="D10" s="96"/>
      <c r="E10" s="138"/>
      <c r="F10" s="89"/>
      <c r="G10" s="89"/>
      <c r="H10" s="94"/>
      <c r="I10" s="89"/>
      <c r="J10" s="89"/>
    </row>
    <row r="11" spans="1:13" s="88" customFormat="1" ht="25.5" customHeight="1" x14ac:dyDescent="0.2">
      <c r="A11" s="156" t="str">
        <f>'START HERE'!$B$17</f>
      </c>
      <c r="B11" s="142"/>
      <c r="C11" s="134" t="str">
        <f>VLOOKUP($A11,'START HERE'!$B$13:$C$21,2,0)&amp;""</f>
      </c>
      <c r="D11" s="96"/>
      <c r="E11" s="138"/>
      <c r="F11" s="89"/>
      <c r="G11" s="89"/>
      <c r="H11" s="94"/>
      <c r="I11" s="89"/>
      <c r="J11" s="89"/>
    </row>
    <row r="12" spans="1:13" s="88" customFormat="1" ht="25.5" customHeight="1" x14ac:dyDescent="0.2">
      <c r="A12" s="156" t="str">
        <f>'START HERE'!$B$18</f>
      </c>
      <c r="B12" s="142"/>
      <c r="C12" s="134" t="str">
        <f>VLOOKUP($A12,'START HERE'!$B$13:$C$21,2,0)&amp;""</f>
      </c>
      <c r="D12" s="96"/>
      <c r="E12" s="138"/>
      <c r="F12" s="132"/>
      <c r="G12" s="133"/>
      <c r="H12" s="133"/>
      <c r="I12" s="133"/>
      <c r="J12" s="133"/>
    </row>
    <row r="13" spans="1:13" s="88" customFormat="1" ht="25.5" customHeight="1" x14ac:dyDescent="0.2">
      <c r="A13" s="156" t="str">
        <f>'START HERE'!$B$14</f>
      </c>
      <c r="B13" s="142"/>
      <c r="C13" s="134" t="str">
        <f>VLOOKUP($A13,'START HERE'!$B$13:$C$21,2,0)&amp;""</f>
      </c>
      <c r="D13" s="96"/>
      <c r="E13" s="138"/>
      <c r="F13" s="132"/>
      <c r="G13" s="133"/>
      <c r="H13" s="133"/>
      <c r="I13" s="133"/>
      <c r="J13" s="133"/>
    </row>
    <row r="14" spans="1:13" s="88" customFormat="1" ht="25.5" customHeight="1" x14ac:dyDescent="0.2">
      <c r="A14" s="156" t="str">
        <f>'START HERE'!$B$15</f>
      </c>
      <c r="B14" s="142"/>
      <c r="C14" s="134" t="str">
        <f>VLOOKUP($A14,'START HERE'!$B$13:$C$21,2,0)&amp;""</f>
      </c>
      <c r="D14" s="96"/>
      <c r="E14" s="138"/>
      <c r="F14" s="132"/>
      <c r="G14" s="133"/>
      <c r="H14" s="133"/>
      <c r="I14" s="133"/>
      <c r="J14" s="133"/>
    </row>
    <row r="15" spans="1:13" s="88" customFormat="1" ht="25.5" customHeight="1" thickBot="1" x14ac:dyDescent="0.25">
      <c r="A15" s="157" t="s">
        <v>948</v>
      </c>
      <c r="B15" s="143"/>
      <c r="C15" s="331">
        <f>'START HERE'!$C$3</f>
      </c>
      <c r="D15" s="139"/>
      <c r="E15" s="140"/>
      <c r="F15" s="132"/>
      <c r="G15" s="133"/>
      <c r="H15" s="133"/>
      <c r="I15" s="133"/>
      <c r="J15" s="133"/>
    </row>
    <row r="16" spans="1:13" x14ac:dyDescent="0.2">
      <c r="A16" s="51" t="s">
        <v>949</v>
      </c>
      <c r="C16" s="255"/>
    </row>
    <row r="17" spans="1:338" s="86" customFormat="1" ht="24" customHeight="1" thickBot="1" x14ac:dyDescent="0.25">
      <c r="A17" s="87"/>
      <c r="B17" s="87"/>
      <c r="C17" s="87"/>
    </row>
    <row r="18" spans="1:338" ht="37.5" customHeight="1" thickBot="1" x14ac:dyDescent="0.25">
      <c r="B18" s="82" t="s">
        <v>947</v>
      </c>
      <c r="C18" s="109" t="s">
        <v>965</v>
      </c>
      <c r="D18" s="81" t="s">
        <v>1510</v>
      </c>
      <c r="E18" s="108" t="s">
        <v>946</v>
      </c>
      <c r="F18" s="85" t="s">
        <v>945</v>
      </c>
    </row>
    <row r="19" spans="1:338" s="83" customFormat="1" ht="37.5" customHeight="1" thickBot="1" x14ac:dyDescent="0.25">
      <c r="B19" s="112" t="s">
        <v>964</v>
      </c>
      <c r="C19" s="113">
        <f>SUM('(backend scoring)'!$Q$3:$Q$333)</f>
      </c>
      <c r="D19" s="114">
        <f>SUMIF('(backend scoring)'!$Q$3:$Q$333,1,'(backend scoring)'!$O$3:$O$333)</f>
      </c>
      <c r="E19" s="114">
        <f>SUMIF('(backend scoring)'!$Q$3:$Q$333,1,'(backend scoring)'!$P$3:$P$333)</f>
      </c>
      <c r="F19" s="115">
        <f>IF(D19=0,'Auto Responses'!$J$5,E19/D19)</f>
      </c>
    </row>
    <row r="20" spans="1:338" s="83" customFormat="1" ht="37.5" customHeight="1" thickBot="1" x14ac:dyDescent="0.2">
      <c r="B20" s="112" t="s">
        <v>1520</v>
      </c>
      <c r="C20" s="113">
        <f>SUM('(backend scoring)'!$T$3:$T$333)</f>
      </c>
      <c r="D20" s="114">
        <f>SUMIF('(backend scoring)'!$N$3:$N$333,1,'(backend scoring)'!$O$3:$O$333)</f>
      </c>
      <c r="E20" s="114">
        <f>SUMIF('(backend scoring)'!$N$3:$N$333,1,'(backend scoring)'!$P$3:$P$333)</f>
      </c>
      <c r="F20" s="115">
        <f>IF(D20=0,'Auto Responses'!$J$5,E20/D20)</f>
      </c>
      <c r="G20" s="235" t="s">
        <v>1448</v>
      </c>
    </row>
    <row r="21" spans="1:338" x14ac:dyDescent="0.2">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7" thickBo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25">
      <c r="A23" s="292" t="s">
        <v>1521</v>
      </c>
      <c r="B23" s="162"/>
      <c r="C23" s="162"/>
      <c r="D23" s="162"/>
      <c r="E23" s="162"/>
      <c r="F23" s="163"/>
      <c r="G23" s="165"/>
      <c r="H23" s="292" t="s">
        <v>976</v>
      </c>
      <c r="I23" s="162"/>
      <c r="J23" s="162"/>
      <c r="K23" s="162"/>
      <c r="L23" s="162"/>
      <c r="M23" s="16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2">
      <c r="A24" s="152"/>
      <c r="B24" s="206" t="s">
        <v>955</v>
      </c>
      <c r="C24" s="206" t="s">
        <v>1</v>
      </c>
      <c r="D24" s="206" t="s">
        <v>1495</v>
      </c>
      <c r="E24" s="206" t="s">
        <v>72</v>
      </c>
      <c r="F24" s="207" t="s">
        <v>849</v>
      </c>
      <c r="G24" s="204"/>
      <c r="H24" s="152"/>
      <c r="I24" s="206" t="s">
        <v>955</v>
      </c>
      <c r="J24" s="206" t="s">
        <v>1</v>
      </c>
      <c r="K24" s="206" t="s">
        <v>1495</v>
      </c>
      <c r="L24" s="206" t="s">
        <v>72</v>
      </c>
      <c r="M24" s="207" t="s">
        <v>849</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2">
      <c r="A25" s="208">
        <v>1</v>
      </c>
      <c r="B25" s="208">
        <f>_xlfn.XLOOKUP($A25,'(backend scoring)'!$V$2:$V$333,'(backend scoring)'!$A$2:$A$333,"")</f>
      </c>
      <c r="C25" s="208">
        <f>IFERROR(VLOOKUP($B25,'Institution Evaluation'!$A$55:$F$345,2,0),IFERROR(VLOOKUP($B25,'Privacy Analyst Evaluation'!$A$46:$F$120,2,0),""))&amp;""</f>
      </c>
      <c r="D25" s="208">
        <f>IFERROR(VLOOKUP($B25,'Institution Evaluation'!$A$55:$F$345,3,0),IFERROR(VLOOKUP($B25,'Privacy Analyst Evaluation'!$A$46:$F$120,3,0),""))&amp;""</f>
      </c>
      <c r="E25" s="208">
        <f>IFERROR(VLOOKUP($B25,'Institution Evaluation'!$A$55:$F$345,4,0),IFERROR(VLOOKUP($B25,'Privacy Analyst Evaluation'!$A$46:$F$120,4,0),""))&amp;""</f>
      </c>
      <c r="F25" s="208">
        <f>IFERROR(VLOOKUP($B25,'Institution Evaluation'!$A$55:$F$345,6,0),IFERROR(VLOOKUP($B25,'Privacy Analyst Evaluation'!$A$46:$F$120,6,0),""))&amp;""</f>
      </c>
      <c r="G25" s="209"/>
      <c r="H25" s="208">
        <v>1</v>
      </c>
      <c r="I25" s="208">
        <f>_xlfn.XLOOKUP($H25,'(backend scoring)'!$S$2:$S$333,'(backend scoring)'!$A$2:$A$333,"")</f>
      </c>
      <c r="J25" s="208">
        <f>IFERROR(VLOOKUP($I25,'Institution Evaluation'!$A$55:$F$345,2,0),IFERROR(VLOOKUP($I25,'Privacy Analyst Evaluation'!$A$46:$F$120,2,0),""))&amp;""</f>
      </c>
      <c r="K25" s="208">
        <f>IFERROR(VLOOKUP($I25,'Institution Evaluation'!$A$55:$F$345,3,0),IFERROR(VLOOKUP($I25,'Privacy Analyst Evaluation'!$A$46:$F$120,3,0),""))&amp;""</f>
      </c>
      <c r="L25" s="208">
        <f>IFERROR(VLOOKUP($I25,'Institution Evaluation'!$A$55:$F$345,4,0),IFERROR(VLOOKUP($I25,'Privacy Analyst Evaluation'!$A$46:$F$120,4,0),""))&amp;""</f>
      </c>
      <c r="M25" s="208">
        <f>IFERROR(VLOOKUP($I25,'Institution Evaluation'!$A$55:$F$345,6,0),IFERROR(VLOOKUP($I25,'Privacy Analyst Evaluation'!$A$46:$F$120,6,0),""))&amp;""</f>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2">
      <c r="A26" s="208">
        <f>IFERROR(IF($A25+1&gt;'(backend scoring)'!$T$335,"",$A25+1),"")</f>
      </c>
      <c r="B26" s="208">
        <f>_xlfn.XLOOKUP($A26,'(backend scoring)'!$V$2:$V$333,'(backend scoring)'!$A$2:$A$333,"")</f>
      </c>
      <c r="C26" s="208">
        <f>IFERROR(VLOOKUP($B26,'Institution Evaluation'!$A$55:$F$345,2,0),IFERROR(VLOOKUP($B26,'Privacy Analyst Evaluation'!$A$46:$F$120,2,0),""))&amp;""</f>
      </c>
      <c r="D26" s="208">
        <f>IFERROR(VLOOKUP($B26,'Institution Evaluation'!$A$55:$F$345,3,0),IFERROR(VLOOKUP($B26,'Privacy Analyst Evaluation'!$A$46:$F$120,3,0),""))&amp;""</f>
      </c>
      <c r="E26" s="208">
        <f>IFERROR(VLOOKUP($B26,'Institution Evaluation'!$A$55:$F$345,4,0),IFERROR(VLOOKUP($B26,'Privacy Analyst Evaluation'!$A$46:$F$120,4,0),""))&amp;""</f>
      </c>
      <c r="F26" s="208">
        <f>IFERROR(VLOOKUP($B26,'Institution Evaluation'!$A$55:$F$345,6,0),IFERROR(VLOOKUP($B26,'Privacy Analyst Evaluation'!$A$46:$F$120,6,0),""))&amp;""</f>
      </c>
      <c r="G26" s="209"/>
      <c r="H26" s="208" t="str">
        <f>IFERROR(IF($H25+1&gt;'(backend scoring)'!$Q$335,"",$H25+1),"")</f>
      </c>
      <c r="I26" s="208">
        <f>_xlfn.XLOOKUP($H26,'(backend scoring)'!$S$2:$S$333,'(backend scoring)'!$A$2:$A$333,"")</f>
      </c>
      <c r="J26" s="208">
        <f>IFERROR(VLOOKUP($I26,'Institution Evaluation'!$A$55:$F$345,2,0),IFERROR(VLOOKUP($I26,'Privacy Analyst Evaluation'!$A$46:$F$120,2,0),""))</f>
      </c>
      <c r="K26" s="208">
        <f>IFERROR(VLOOKUP($I26,'Institution Evaluation'!$A$55:$F$345,3,0),IFERROR(VLOOKUP($I26,'Privacy Analyst Evaluation'!$A$46:$F$120,3,0),""))&amp;""</f>
      </c>
      <c r="L26" s="208">
        <f>IFERROR(VLOOKUP($I26,'Institution Evaluation'!$A$55:$F$345,4,0),IFERROR(VLOOKUP($I26,'Privacy Analyst Evaluation'!$A$46:$F$120,4,0),""))&amp;""</f>
      </c>
      <c r="M26" s="208">
        <f>IFERROR(VLOOKUP($I26,'Institution Evaluation'!$A$55:$F$345,6,0),IFERROR(VLOOKUP($I26,'Privacy Analyst Evaluation'!$A$46:$F$120,6,0),""))&amp;""</f>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2">
      <c r="A27" s="208">
        <f>IFERROR(IF($A26+1&gt;'(backend scoring)'!$T$335,"",$A26+1),"")</f>
      </c>
      <c r="B27" s="208">
        <f>_xlfn.XLOOKUP($A27,'(backend scoring)'!$V$2:$V$333,'(backend scoring)'!$A$2:$A$333,"")</f>
      </c>
      <c r="C27" s="208">
        <f>IFERROR(VLOOKUP($B27,'Institution Evaluation'!$A$55:$F$345,2,0),IFERROR(VLOOKUP($B27,'Privacy Analyst Evaluation'!$A$46:$F$120,2,0),""))&amp;""</f>
      </c>
      <c r="D27" s="208">
        <f>IFERROR(VLOOKUP($B27,'Institution Evaluation'!$A$55:$F$345,3,0),IFERROR(VLOOKUP($B27,'Privacy Analyst Evaluation'!$A$46:$F$120,3,0),""))&amp;""</f>
      </c>
      <c r="E27" s="208">
        <f>IFERROR(VLOOKUP($B27,'Institution Evaluation'!$A$55:$F$345,4,0),IFERROR(VLOOKUP($B27,'Privacy Analyst Evaluation'!$A$46:$F$120,4,0),""))&amp;""</f>
      </c>
      <c r="F27" s="208">
        <f>IFERROR(VLOOKUP($B27,'Institution Evaluation'!$A$55:$F$345,6,0),IFERROR(VLOOKUP($B27,'Privacy Analyst Evaluation'!$A$46:$F$120,6,0),""))&amp;""</f>
      </c>
      <c r="G27" s="209"/>
      <c r="H27" s="208" t="str">
        <f>IFERROR(IF($H26+1&gt;'(backend scoring)'!$Q$335,"",$H26+1),"")</f>
      </c>
      <c r="I27" s="208">
        <f>_xlfn.XLOOKUP($H27,'(backend scoring)'!$S$2:$S$333,'(backend scoring)'!$A$2:$A$333,"")</f>
      </c>
      <c r="J27" s="208">
        <f>IFERROR(VLOOKUP($I27,'Institution Evaluation'!$A$55:$F$345,2,0),IFERROR(VLOOKUP($I27,'Privacy Analyst Evaluation'!$A$46:$F$120,2,0),""))</f>
      </c>
      <c r="K27" s="208">
        <f>IFERROR(VLOOKUP($I27,'Institution Evaluation'!$A$55:$F$345,3,0),IFERROR(VLOOKUP($I27,'Privacy Analyst Evaluation'!$A$46:$F$120,3,0),""))&amp;""</f>
      </c>
      <c r="L27" s="208">
        <f>IFERROR(VLOOKUP($I27,'Institution Evaluation'!$A$55:$F$345,4,0),IFERROR(VLOOKUP($I27,'Privacy Analyst Evaluation'!$A$46:$F$120,4,0),""))&amp;""</f>
      </c>
      <c r="M27" s="208">
        <f>IFERROR(VLOOKUP($I27,'Institution Evaluation'!$A$55:$F$345,6,0),IFERROR(VLOOKUP($I27,'Privacy Analyst Evaluation'!$A$46:$F$120,6,0),""))&amp;""</f>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85" x14ac:dyDescent="0.2">
      <c r="A28" s="208">
        <f>IFERROR(IF($A27+1&gt;'(backend scoring)'!$T$335,"",$A27+1),"")</f>
      </c>
      <c r="B28" s="208">
        <f>_xlfn.XLOOKUP($A28,'(backend scoring)'!$V$2:$V$333,'(backend scoring)'!$A$2:$A$333,"")</f>
      </c>
      <c r="C28" s="208">
        <f>IFERROR(VLOOKUP($B28,'Institution Evaluation'!$A$55:$F$345,2,0),IFERROR(VLOOKUP($B28,'Privacy Analyst Evaluation'!$A$46:$F$120,2,0),""))&amp;""</f>
      </c>
      <c r="D28" s="208">
        <f>IFERROR(VLOOKUP($B28,'Institution Evaluation'!$A$55:$F$345,3,0),IFERROR(VLOOKUP($B28,'Privacy Analyst Evaluation'!$A$46:$F$120,3,0),""))&amp;""</f>
      </c>
      <c r="E28" s="208">
        <f>IFERROR(VLOOKUP($B28,'Institution Evaluation'!$A$55:$F$345,4,0),IFERROR(VLOOKUP($B28,'Privacy Analyst Evaluation'!$A$46:$F$120,4,0),""))&amp;""</f>
      </c>
      <c r="F28" s="208">
        <f>IFERROR(VLOOKUP($B28,'Institution Evaluation'!$A$55:$F$345,6,0),IFERROR(VLOOKUP($B28,'Privacy Analyst Evaluation'!$A$46:$F$120,6,0),""))&amp;""</f>
      </c>
      <c r="G28" s="209"/>
      <c r="H28" s="208" t="str">
        <f>IFERROR(IF($H27+1&gt;'(backend scoring)'!$Q$335,"",$H27+1),"")</f>
      </c>
      <c r="I28" s="208">
        <f>_xlfn.XLOOKUP($H28,'(backend scoring)'!$S$2:$S$333,'(backend scoring)'!$A$2:$A$333,"")</f>
      </c>
      <c r="J28" s="208">
        <f>IFERROR(VLOOKUP($I28,'Institution Evaluation'!$A$55:$F$345,2,0),IFERROR(VLOOKUP($I28,'Privacy Analyst Evaluation'!$A$46:$F$120,2,0),""))</f>
      </c>
      <c r="K28" s="208">
        <f>IFERROR(VLOOKUP($I28,'Institution Evaluation'!$A$55:$F$345,3,0),IFERROR(VLOOKUP($I28,'Privacy Analyst Evaluation'!$A$46:$F$120,3,0),""))&amp;""</f>
      </c>
      <c r="L28" s="208">
        <f>IFERROR(VLOOKUP($I28,'Institution Evaluation'!$A$55:$F$345,4,0),IFERROR(VLOOKUP($I28,'Privacy Analyst Evaluation'!$A$46:$F$120,4,0),""))&amp;""</f>
      </c>
      <c r="M28" s="208">
        <f>IFERROR(VLOOKUP($I28,'Institution Evaluation'!$A$55:$F$345,6,0),IFERROR(VLOOKUP($I28,'Privacy Analyst Evaluation'!$A$46:$F$120,6,0),""))&amp;""</f>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68" x14ac:dyDescent="0.2">
      <c r="A29" s="208">
        <f>IFERROR(IF($A28+1&gt;'(backend scoring)'!$T$335,"",$A28+1),"")</f>
      </c>
      <c r="B29" s="208">
        <f>_xlfn.XLOOKUP($A29,'(backend scoring)'!$V$2:$V$333,'(backend scoring)'!$A$2:$A$333,"")</f>
      </c>
      <c r="C29" s="208">
        <f>IFERROR(VLOOKUP($B29,'Institution Evaluation'!$A$55:$F$345,2,0),IFERROR(VLOOKUP($B29,'Privacy Analyst Evaluation'!$A$46:$F$120,2,0),""))&amp;""</f>
      </c>
      <c r="D29" s="208">
        <f>IFERROR(VLOOKUP($B29,'Institution Evaluation'!$A$55:$F$345,3,0),IFERROR(VLOOKUP($B29,'Privacy Analyst Evaluation'!$A$46:$F$120,3,0),""))&amp;""</f>
      </c>
      <c r="E29" s="208">
        <f>IFERROR(VLOOKUP($B29,'Institution Evaluation'!$A$55:$F$345,4,0),IFERROR(VLOOKUP($B29,'Privacy Analyst Evaluation'!$A$46:$F$120,4,0),""))&amp;""</f>
      </c>
      <c r="F29" s="208">
        <f>IFERROR(VLOOKUP($B29,'Institution Evaluation'!$A$55:$F$345,6,0),IFERROR(VLOOKUP($B29,'Privacy Analyst Evaluation'!$A$46:$F$120,6,0),""))&amp;""</f>
      </c>
      <c r="G29" s="209"/>
      <c r="H29" s="208" t="str">
        <f>IFERROR(IF($H28+1&gt;'(backend scoring)'!$Q$335,"",$H28+1),"")</f>
      </c>
      <c r="I29" s="208">
        <f>_xlfn.XLOOKUP($H29,'(backend scoring)'!$S$2:$S$333,'(backend scoring)'!$A$2:$A$333,"")</f>
      </c>
      <c r="J29" s="208">
        <f>IFERROR(VLOOKUP($I29,'Institution Evaluation'!$A$55:$F$345,2,0),IFERROR(VLOOKUP($I29,'Privacy Analyst Evaluation'!$A$46:$F$120,2,0),""))</f>
      </c>
      <c r="K29" s="208">
        <f>IFERROR(VLOOKUP($I29,'Institution Evaluation'!$A$55:$F$345,3,0),IFERROR(VLOOKUP($I29,'Privacy Analyst Evaluation'!$A$46:$F$120,3,0),""))&amp;""</f>
      </c>
      <c r="L29" s="208">
        <f>IFERROR(VLOOKUP($I29,'Institution Evaluation'!$A$55:$F$345,4,0),IFERROR(VLOOKUP($I29,'Privacy Analyst Evaluation'!$A$46:$F$120,4,0),""))&amp;""</f>
      </c>
      <c r="M29" s="208">
        <f>IFERROR(VLOOKUP($I29,'Institution Evaluation'!$A$55:$F$345,6,0),IFERROR(VLOOKUP($I29,'Privacy Analyst Evaluation'!$A$46:$F$120,6,0),""))&amp;""</f>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119" x14ac:dyDescent="0.2">
      <c r="A30" s="208">
        <f>IFERROR(IF($A29+1&gt;'(backend scoring)'!$T$335,"",$A29+1),"")</f>
      </c>
      <c r="B30" s="208">
        <f>_xlfn.XLOOKUP($A30,'(backend scoring)'!$V$2:$V$333,'(backend scoring)'!$A$2:$A$333,"")</f>
      </c>
      <c r="C30" s="208">
        <f>IFERROR(VLOOKUP($B30,'Institution Evaluation'!$A$55:$F$345,2,0),IFERROR(VLOOKUP($B30,'Privacy Analyst Evaluation'!$A$46:$F$120,2,0),""))&amp;""</f>
      </c>
      <c r="D30" s="208">
        <f>IFERROR(VLOOKUP($B30,'Institution Evaluation'!$A$55:$F$345,3,0),IFERROR(VLOOKUP($B30,'Privacy Analyst Evaluation'!$A$46:$F$120,3,0),""))&amp;""</f>
      </c>
      <c r="E30" s="208">
        <f>IFERROR(VLOOKUP($B30,'Institution Evaluation'!$A$55:$F$345,4,0),IFERROR(VLOOKUP($B30,'Privacy Analyst Evaluation'!$A$46:$F$120,4,0),""))&amp;""</f>
      </c>
      <c r="F30" s="208">
        <f>IFERROR(VLOOKUP($B30,'Institution Evaluation'!$A$55:$F$345,6,0),IFERROR(VLOOKUP($B30,'Privacy Analyst Evaluation'!$A$46:$F$120,6,0),""))&amp;""</f>
      </c>
      <c r="G30" s="209"/>
      <c r="H30" s="208" t="str">
        <f>IFERROR(IF($H29+1&gt;'(backend scoring)'!$Q$335,"",$H29+1),"")</f>
      </c>
      <c r="I30" s="208">
        <f>_xlfn.XLOOKUP($H30,'(backend scoring)'!$S$2:$S$333,'(backend scoring)'!$A$2:$A$333,"")</f>
      </c>
      <c r="J30" s="208">
        <f>IFERROR(VLOOKUP($I30,'Institution Evaluation'!$A$55:$F$345,2,0),IFERROR(VLOOKUP($I30,'Privacy Analyst Evaluation'!$A$46:$F$120,2,0),""))</f>
      </c>
      <c r="K30" s="208">
        <f>IFERROR(VLOOKUP($I30,'Institution Evaluation'!$A$55:$F$345,3,0),IFERROR(VLOOKUP($I30,'Privacy Analyst Evaluation'!$A$46:$F$120,3,0),""))&amp;""</f>
      </c>
      <c r="L30" s="208">
        <f>IFERROR(VLOOKUP($I30,'Institution Evaluation'!$A$55:$F$345,4,0),IFERROR(VLOOKUP($I30,'Privacy Analyst Evaluation'!$A$46:$F$120,4,0),""))&amp;""</f>
      </c>
      <c r="M30" s="208">
        <f>IFERROR(VLOOKUP($I30,'Institution Evaluation'!$A$55:$F$345,6,0),IFERROR(VLOOKUP($I30,'Privacy Analyst Evaluation'!$A$46:$F$120,6,0),""))&amp;""</f>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409.6" x14ac:dyDescent="0.2">
      <c r="A31" s="208">
        <f>IFERROR(IF($A30+1&gt;'(backend scoring)'!$T$335,"",$A30+1),"")</f>
      </c>
      <c r="B31" s="208">
        <f>_xlfn.XLOOKUP($A31,'(backend scoring)'!$V$2:$V$333,'(backend scoring)'!$A$2:$A$333,"")</f>
      </c>
      <c r="C31" s="208">
        <f>IFERROR(VLOOKUP($B31,'Institution Evaluation'!$A$55:$F$345,2,0),IFERROR(VLOOKUP($B31,'Privacy Analyst Evaluation'!$A$46:$F$120,2,0),""))&amp;""</f>
      </c>
      <c r="D31" s="208">
        <f>IFERROR(VLOOKUP($B31,'Institution Evaluation'!$A$55:$F$345,3,0),IFERROR(VLOOKUP($B31,'Privacy Analyst Evaluation'!$A$46:$F$120,3,0),""))&amp;""</f>
      </c>
      <c r="E31" s="208">
        <f>IFERROR(VLOOKUP($B31,'Institution Evaluation'!$A$55:$F$345,4,0),IFERROR(VLOOKUP($B31,'Privacy Analyst Evaluation'!$A$46:$F$120,4,0),""))&amp;""</f>
      </c>
      <c r="F31" s="208">
        <f>IFERROR(VLOOKUP($B31,'Institution Evaluation'!$A$55:$F$345,6,0),IFERROR(VLOOKUP($B31,'Privacy Analyst Evaluation'!$A$46:$F$120,6,0),""))&amp;""</f>
      </c>
      <c r="G31" s="209"/>
      <c r="H31" s="208" t="str">
        <f>IFERROR(IF($H30+1&gt;'(backend scoring)'!$Q$335,"",$H30+1),"")</f>
      </c>
      <c r="I31" s="208">
        <f>_xlfn.XLOOKUP($H31,'(backend scoring)'!$S$2:$S$333,'(backend scoring)'!$A$2:$A$333,"")</f>
      </c>
      <c r="J31" s="208">
        <f>IFERROR(VLOOKUP($I31,'Institution Evaluation'!$A$55:$F$345,2,0),IFERROR(VLOOKUP($I31,'Privacy Analyst Evaluation'!$A$46:$F$120,2,0),""))</f>
      </c>
      <c r="K31" s="208">
        <f>IFERROR(VLOOKUP($I31,'Institution Evaluation'!$A$55:$F$345,3,0),IFERROR(VLOOKUP($I31,'Privacy Analyst Evaluation'!$A$46:$F$120,3,0),""))&amp;""</f>
      </c>
      <c r="L31" s="208">
        <f>IFERROR(VLOOKUP($I31,'Institution Evaluation'!$A$55:$F$345,4,0),IFERROR(VLOOKUP($I31,'Privacy Analyst Evaluation'!$A$46:$F$120,4,0),""))&amp;""</f>
      </c>
      <c r="M31" s="208">
        <f>IFERROR(VLOOKUP($I31,'Institution Evaluation'!$A$55:$F$345,6,0),IFERROR(VLOOKUP($I31,'Privacy Analyst Evaluation'!$A$46:$F$120,6,0),""))&amp;""</f>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136" x14ac:dyDescent="0.2">
      <c r="A32" s="208">
        <f>IFERROR(IF($A31+1&gt;'(backend scoring)'!$T$335,"",$A31+1),"")</f>
      </c>
      <c r="B32" s="208">
        <f>_xlfn.XLOOKUP($A32,'(backend scoring)'!$V$2:$V$333,'(backend scoring)'!$A$2:$A$333,"")</f>
      </c>
      <c r="C32" s="208">
        <f>IFERROR(VLOOKUP($B32,'Institution Evaluation'!$A$55:$F$345,2,0),IFERROR(VLOOKUP($B32,'Privacy Analyst Evaluation'!$A$46:$F$120,2,0),""))&amp;""</f>
      </c>
      <c r="D32" s="208">
        <f>IFERROR(VLOOKUP($B32,'Institution Evaluation'!$A$55:$F$345,3,0),IFERROR(VLOOKUP($B32,'Privacy Analyst Evaluation'!$A$46:$F$120,3,0),""))&amp;""</f>
      </c>
      <c r="E32" s="208">
        <f>IFERROR(VLOOKUP($B32,'Institution Evaluation'!$A$55:$F$345,4,0),IFERROR(VLOOKUP($B32,'Privacy Analyst Evaluation'!$A$46:$F$120,4,0),""))&amp;""</f>
      </c>
      <c r="F32" s="208">
        <f>IFERROR(VLOOKUP($B32,'Institution Evaluation'!$A$55:$F$345,6,0),IFERROR(VLOOKUP($B32,'Privacy Analyst Evaluation'!$A$46:$F$120,6,0),""))&amp;""</f>
      </c>
      <c r="G32" s="209"/>
      <c r="H32" s="208" t="str">
        <f>IFERROR(IF($H31+1&gt;'(backend scoring)'!$Q$335,"",$H31+1),"")</f>
      </c>
      <c r="I32" s="208">
        <f>_xlfn.XLOOKUP($H32,'(backend scoring)'!$S$2:$S$333,'(backend scoring)'!$A$2:$A$333,"")</f>
      </c>
      <c r="J32" s="208">
        <f>IFERROR(VLOOKUP($I32,'Institution Evaluation'!$A$55:$F$345,2,0),IFERROR(VLOOKUP($I32,'Privacy Analyst Evaluation'!$A$46:$F$120,2,0),""))</f>
      </c>
      <c r="K32" s="208">
        <f>IFERROR(VLOOKUP($I32,'Institution Evaluation'!$A$55:$F$345,3,0),IFERROR(VLOOKUP($I32,'Privacy Analyst Evaluation'!$A$46:$F$120,3,0),""))&amp;""</f>
      </c>
      <c r="L32" s="208">
        <f>IFERROR(VLOOKUP($I32,'Institution Evaluation'!$A$55:$F$345,4,0),IFERROR(VLOOKUP($I32,'Privacy Analyst Evaluation'!$A$46:$F$120,4,0),""))&amp;""</f>
      </c>
      <c r="M32" s="208">
        <f>IFERROR(VLOOKUP($I32,'Institution Evaluation'!$A$55:$F$345,6,0),IFERROR(VLOOKUP($I32,'Privacy Analyst Evaluation'!$A$46:$F$120,6,0),""))&amp;""</f>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85" x14ac:dyDescent="0.2">
      <c r="A33" s="208">
        <f>IFERROR(IF($A32+1&gt;'(backend scoring)'!$T$335,"",$A32+1),"")</f>
      </c>
      <c r="B33" s="208">
        <f>_xlfn.XLOOKUP($A33,'(backend scoring)'!$V$2:$V$333,'(backend scoring)'!$A$2:$A$333,"")</f>
      </c>
      <c r="C33" s="208">
        <f>IFERROR(VLOOKUP($B33,'Institution Evaluation'!$A$55:$F$345,2,0),IFERROR(VLOOKUP($B33,'Privacy Analyst Evaluation'!$A$46:$F$120,2,0),""))&amp;""</f>
      </c>
      <c r="D33" s="208">
        <f>IFERROR(VLOOKUP($B33,'Institution Evaluation'!$A$55:$F$345,3,0),IFERROR(VLOOKUP($B33,'Privacy Analyst Evaluation'!$A$46:$F$120,3,0),""))&amp;""</f>
      </c>
      <c r="E33" s="208">
        <f>IFERROR(VLOOKUP($B33,'Institution Evaluation'!$A$55:$F$345,4,0),IFERROR(VLOOKUP($B33,'Privacy Analyst Evaluation'!$A$46:$F$120,4,0),""))&amp;""</f>
      </c>
      <c r="F33" s="208">
        <f>IFERROR(VLOOKUP($B33,'Institution Evaluation'!$A$55:$F$345,6,0),IFERROR(VLOOKUP($B33,'Privacy Analyst Evaluation'!$A$46:$F$120,6,0),""))&amp;""</f>
      </c>
      <c r="G33" s="209"/>
      <c r="H33" s="208" t="str">
        <f>IFERROR(IF($H32+1&gt;'(backend scoring)'!$Q$335,"",$H32+1),"")</f>
      </c>
      <c r="I33" s="208">
        <f>_xlfn.XLOOKUP($H33,'(backend scoring)'!$S$2:$S$333,'(backend scoring)'!$A$2:$A$333,"")</f>
      </c>
      <c r="J33" s="208">
        <f>IFERROR(VLOOKUP($I33,'Institution Evaluation'!$A$55:$F$345,2,0),IFERROR(VLOOKUP($I33,'Privacy Analyst Evaluation'!$A$46:$F$120,2,0),""))</f>
      </c>
      <c r="K33" s="208">
        <f>IFERROR(VLOOKUP($I33,'Institution Evaluation'!$A$55:$F$345,3,0),IFERROR(VLOOKUP($I33,'Privacy Analyst Evaluation'!$A$46:$F$120,3,0),""))&amp;""</f>
      </c>
      <c r="L33" s="208">
        <f>IFERROR(VLOOKUP($I33,'Institution Evaluation'!$A$55:$F$345,4,0),IFERROR(VLOOKUP($I33,'Privacy Analyst Evaluation'!$A$46:$F$120,4,0),""))&amp;""</f>
      </c>
      <c r="M33" s="208">
        <f>IFERROR(VLOOKUP($I33,'Institution Evaluation'!$A$55:$F$345,6,0),IFERROR(VLOOKUP($I33,'Privacy Analyst Evaluation'!$A$46:$F$120,6,0),""))&amp;""</f>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34" x14ac:dyDescent="0.2">
      <c r="A34" s="208">
        <f>IFERROR(IF($A33+1&gt;'(backend scoring)'!$T$335,"",$A33+1),"")</f>
      </c>
      <c r="B34" s="208">
        <f>_xlfn.XLOOKUP($A34,'(backend scoring)'!$V$2:$V$333,'(backend scoring)'!$A$2:$A$333,"")</f>
      </c>
      <c r="C34" s="208">
        <f>IFERROR(VLOOKUP($B34,'Institution Evaluation'!$A$55:$F$345,2,0),IFERROR(VLOOKUP($B34,'Privacy Analyst Evaluation'!$A$46:$F$120,2,0),""))&amp;""</f>
      </c>
      <c r="D34" s="208">
        <f>IFERROR(VLOOKUP($B34,'Institution Evaluation'!$A$55:$F$345,3,0),IFERROR(VLOOKUP($B34,'Privacy Analyst Evaluation'!$A$46:$F$120,3,0),""))&amp;""</f>
      </c>
      <c r="E34" s="208">
        <f>IFERROR(VLOOKUP($B34,'Institution Evaluation'!$A$55:$F$345,4,0),IFERROR(VLOOKUP($B34,'Privacy Analyst Evaluation'!$A$46:$F$120,4,0),""))&amp;""</f>
      </c>
      <c r="F34" s="208">
        <f>IFERROR(VLOOKUP($B34,'Institution Evaluation'!$A$55:$F$345,6,0),IFERROR(VLOOKUP($B34,'Privacy Analyst Evaluation'!$A$46:$F$120,6,0),""))&amp;""</f>
      </c>
      <c r="G34" s="209"/>
      <c r="H34" s="208" t="str">
        <f>IFERROR(IF($H33+1&gt;'(backend scoring)'!$Q$335,"",$H33+1),"")</f>
      </c>
      <c r="I34" s="208">
        <f>_xlfn.XLOOKUP($H34,'(backend scoring)'!$S$2:$S$333,'(backend scoring)'!$A$2:$A$333,"")</f>
      </c>
      <c r="J34" s="208">
        <f>IFERROR(VLOOKUP($I34,'Institution Evaluation'!$A$55:$F$345,2,0),IFERROR(VLOOKUP($I34,'Privacy Analyst Evaluation'!$A$46:$F$120,2,0),""))</f>
      </c>
      <c r="K34" s="208">
        <f>IFERROR(VLOOKUP($I34,'Institution Evaluation'!$A$55:$F$345,3,0),IFERROR(VLOOKUP($I34,'Privacy Analyst Evaluation'!$A$46:$F$120,3,0),""))&amp;""</f>
      </c>
      <c r="L34" s="208">
        <f>IFERROR(VLOOKUP($I34,'Institution Evaluation'!$A$55:$F$345,4,0),IFERROR(VLOOKUP($I34,'Privacy Analyst Evaluation'!$A$46:$F$120,4,0),""))&amp;""</f>
      </c>
      <c r="M34" s="208">
        <f>IFERROR(VLOOKUP($I34,'Institution Evaluation'!$A$55:$F$345,6,0),IFERROR(VLOOKUP($I34,'Privacy Analyst Evaluation'!$A$46:$F$120,6,0),""))&amp;""</f>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51" x14ac:dyDescent="0.2">
      <c r="A35" s="208">
        <f>IFERROR(IF($A34+1&gt;'(backend scoring)'!$T$335,"",$A34+1),"")</f>
      </c>
      <c r="B35" s="208">
        <f>_xlfn.XLOOKUP($A35,'(backend scoring)'!$V$2:$V$333,'(backend scoring)'!$A$2:$A$333,"")</f>
      </c>
      <c r="C35" s="208">
        <f>IFERROR(VLOOKUP($B35,'Institution Evaluation'!$A$55:$F$345,2,0),IFERROR(VLOOKUP($B35,'Privacy Analyst Evaluation'!$A$46:$F$120,2,0),""))&amp;""</f>
      </c>
      <c r="D35" s="208">
        <f>IFERROR(VLOOKUP($B35,'Institution Evaluation'!$A$55:$F$345,3,0),IFERROR(VLOOKUP($B35,'Privacy Analyst Evaluation'!$A$46:$F$120,3,0),""))&amp;""</f>
      </c>
      <c r="E35" s="208">
        <f>IFERROR(VLOOKUP($B35,'Institution Evaluation'!$A$55:$F$345,4,0),IFERROR(VLOOKUP($B35,'Privacy Analyst Evaluation'!$A$46:$F$120,4,0),""))&amp;""</f>
      </c>
      <c r="F35" s="208">
        <f>IFERROR(VLOOKUP($B35,'Institution Evaluation'!$A$55:$F$345,6,0),IFERROR(VLOOKUP($B35,'Privacy Analyst Evaluation'!$A$46:$F$120,6,0),""))&amp;""</f>
      </c>
      <c r="G35" s="209"/>
      <c r="H35" s="208" t="str">
        <f>IFERROR(IF($H34+1&gt;'(backend scoring)'!$Q$335,"",$H34+1),"")</f>
      </c>
      <c r="I35" s="208">
        <f>_xlfn.XLOOKUP($H35,'(backend scoring)'!$S$2:$S$333,'(backend scoring)'!$A$2:$A$333,"")</f>
      </c>
      <c r="J35" s="208">
        <f>IFERROR(VLOOKUP($I35,'Institution Evaluation'!$A$55:$F$345,2,0),IFERROR(VLOOKUP($I35,'Privacy Analyst Evaluation'!$A$46:$F$120,2,0),""))</f>
      </c>
      <c r="K35" s="208">
        <f>IFERROR(VLOOKUP($I35,'Institution Evaluation'!$A$55:$F$345,3,0),IFERROR(VLOOKUP($I35,'Privacy Analyst Evaluation'!$A$46:$F$120,3,0),""))&amp;""</f>
      </c>
      <c r="L35" s="208">
        <f>IFERROR(VLOOKUP($I35,'Institution Evaluation'!$A$55:$F$345,4,0),IFERROR(VLOOKUP($I35,'Privacy Analyst Evaluation'!$A$46:$F$120,4,0),""))&amp;""</f>
      </c>
      <c r="M35" s="208">
        <f>IFERROR(VLOOKUP($I35,'Institution Evaluation'!$A$55:$F$345,6,0),IFERROR(VLOOKUP($I35,'Privacy Analyst Evaluation'!$A$46:$F$120,6,0),""))&amp;""</f>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51" x14ac:dyDescent="0.2">
      <c r="A36" s="208">
        <f>IFERROR(IF($A35+1&gt;'(backend scoring)'!$T$335,"",$A35+1),"")</f>
      </c>
      <c r="B36" s="208">
        <f>_xlfn.XLOOKUP($A36,'(backend scoring)'!$V$2:$V$333,'(backend scoring)'!$A$2:$A$333,"")</f>
      </c>
      <c r="C36" s="208">
        <f>IFERROR(VLOOKUP($B36,'Institution Evaluation'!$A$55:$F$345,2,0),IFERROR(VLOOKUP($B36,'Privacy Analyst Evaluation'!$A$46:$F$120,2,0),""))&amp;""</f>
      </c>
      <c r="D36" s="208">
        <f>IFERROR(VLOOKUP($B36,'Institution Evaluation'!$A$55:$F$345,3,0),IFERROR(VLOOKUP($B36,'Privacy Analyst Evaluation'!$A$46:$F$120,3,0),""))&amp;""</f>
      </c>
      <c r="E36" s="208">
        <f>IFERROR(VLOOKUP($B36,'Institution Evaluation'!$A$55:$F$345,4,0),IFERROR(VLOOKUP($B36,'Privacy Analyst Evaluation'!$A$46:$F$120,4,0),""))&amp;""</f>
      </c>
      <c r="F36" s="208">
        <f>IFERROR(VLOOKUP($B36,'Institution Evaluation'!$A$55:$F$345,6,0),IFERROR(VLOOKUP($B36,'Privacy Analyst Evaluation'!$A$46:$F$120,6,0),""))&amp;""</f>
      </c>
      <c r="G36" s="209"/>
      <c r="H36" s="208" t="str">
        <f>IFERROR(IF($H35+1&gt;'(backend scoring)'!$Q$335,"",$H35+1),"")</f>
      </c>
      <c r="I36" s="208">
        <f>_xlfn.XLOOKUP($H36,'(backend scoring)'!$S$2:$S$333,'(backend scoring)'!$A$2:$A$333,"")</f>
      </c>
      <c r="J36" s="208">
        <f>IFERROR(VLOOKUP($I36,'Institution Evaluation'!$A$55:$F$345,2,0),IFERROR(VLOOKUP($I36,'Privacy Analyst Evaluation'!$A$46:$F$120,2,0),""))</f>
      </c>
      <c r="K36" s="208">
        <f>IFERROR(VLOOKUP($I36,'Institution Evaluation'!$A$55:$F$345,3,0),IFERROR(VLOOKUP($I36,'Privacy Analyst Evaluation'!$A$46:$F$120,3,0),""))&amp;""</f>
      </c>
      <c r="L36" s="208">
        <f>IFERROR(VLOOKUP($I36,'Institution Evaluation'!$A$55:$F$345,4,0),IFERROR(VLOOKUP($I36,'Privacy Analyst Evaluation'!$A$46:$F$120,4,0),""))&amp;""</f>
      </c>
      <c r="M36" s="208">
        <f>IFERROR(VLOOKUP($I36,'Institution Evaluation'!$A$55:$F$345,6,0),IFERROR(VLOOKUP($I36,'Privacy Analyst Evaluation'!$A$46:$F$120,6,0),""))&amp;""</f>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51" x14ac:dyDescent="0.2">
      <c r="A37" s="208">
        <f>IFERROR(IF($A36+1&gt;'(backend scoring)'!$T$335,"",$A36+1),"")</f>
      </c>
      <c r="B37" s="208">
        <f>_xlfn.XLOOKUP($A37,'(backend scoring)'!$V$2:$V$333,'(backend scoring)'!$A$2:$A$333,"")</f>
      </c>
      <c r="C37" s="208">
        <f>IFERROR(VLOOKUP($B37,'Institution Evaluation'!$A$55:$F$345,2,0),IFERROR(VLOOKUP($B37,'Privacy Analyst Evaluation'!$A$46:$F$120,2,0),""))&amp;""</f>
      </c>
      <c r="D37" s="208">
        <f>IFERROR(VLOOKUP($B37,'Institution Evaluation'!$A$55:$F$345,3,0),IFERROR(VLOOKUP($B37,'Privacy Analyst Evaluation'!$A$46:$F$120,3,0),""))&amp;""</f>
      </c>
      <c r="E37" s="208">
        <f>IFERROR(VLOOKUP($B37,'Institution Evaluation'!$A$55:$F$345,4,0),IFERROR(VLOOKUP($B37,'Privacy Analyst Evaluation'!$A$46:$F$120,4,0),""))&amp;""</f>
      </c>
      <c r="F37" s="208">
        <f>IFERROR(VLOOKUP($B37,'Institution Evaluation'!$A$55:$F$345,6,0),IFERROR(VLOOKUP($B37,'Privacy Analyst Evaluation'!$A$46:$F$120,6,0),""))&amp;""</f>
      </c>
      <c r="G37" s="209"/>
      <c r="H37" s="208" t="str">
        <f>IFERROR(IF($H36+1&gt;'(backend scoring)'!$Q$335,"",$H36+1),"")</f>
      </c>
      <c r="I37" s="208">
        <f>_xlfn.XLOOKUP($H37,'(backend scoring)'!$S$2:$S$333,'(backend scoring)'!$A$2:$A$333,"")</f>
      </c>
      <c r="J37" s="208">
        <f>IFERROR(VLOOKUP($I37,'Institution Evaluation'!$A$55:$F$345,2,0),IFERROR(VLOOKUP($I37,'Privacy Analyst Evaluation'!$A$46:$F$120,2,0),""))</f>
      </c>
      <c r="K37" s="208">
        <f>IFERROR(VLOOKUP($I37,'Institution Evaluation'!$A$55:$F$345,3,0),IFERROR(VLOOKUP($I37,'Privacy Analyst Evaluation'!$A$46:$F$120,3,0),""))&amp;""</f>
      </c>
      <c r="L37" s="208">
        <f>IFERROR(VLOOKUP($I37,'Institution Evaluation'!$A$55:$F$345,4,0),IFERROR(VLOOKUP($I37,'Privacy Analyst Evaluation'!$A$46:$F$120,4,0),""))&amp;""</f>
      </c>
      <c r="M37" s="208">
        <f>IFERROR(VLOOKUP($I37,'Institution Evaluation'!$A$55:$F$345,6,0),IFERROR(VLOOKUP($I37,'Privacy Analyst Evaluation'!$A$46:$F$120,6,0),""))&amp;""</f>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2">
      <c r="A38" s="208">
        <f>IFERROR(IF($A37+1&gt;'(backend scoring)'!$T$335,"",$A37+1),"")</f>
      </c>
      <c r="B38" s="208">
        <f>_xlfn.XLOOKUP($A38,'(backend scoring)'!$V$2:$V$333,'(backend scoring)'!$A$2:$A$333,"")</f>
      </c>
      <c r="C38" s="208">
        <f>IFERROR(VLOOKUP($B38,'Institution Evaluation'!$A$55:$F$345,2,0),IFERROR(VLOOKUP($B38,'Privacy Analyst Evaluation'!$A$46:$F$120,2,0),""))&amp;""</f>
      </c>
      <c r="D38" s="208">
        <f>IFERROR(VLOOKUP($B38,'Institution Evaluation'!$A$55:$F$345,3,0),IFERROR(VLOOKUP($B38,'Privacy Analyst Evaluation'!$A$46:$F$120,3,0),""))&amp;""</f>
      </c>
      <c r="E38" s="208">
        <f>IFERROR(VLOOKUP($B38,'Institution Evaluation'!$A$55:$F$345,4,0),IFERROR(VLOOKUP($B38,'Privacy Analyst Evaluation'!$A$46:$F$120,4,0),""))&amp;""</f>
      </c>
      <c r="F38" s="208">
        <f>IFERROR(VLOOKUP($B38,'Institution Evaluation'!$A$55:$F$345,6,0),IFERROR(VLOOKUP($B38,'Privacy Analyst Evaluation'!$A$46:$F$120,6,0),""))&amp;""</f>
      </c>
      <c r="G38" s="209"/>
      <c r="H38" s="208" t="str">
        <f>IFERROR(IF($H37+1&gt;'(backend scoring)'!$Q$335,"",$H37+1),"")</f>
      </c>
      <c r="I38" s="208">
        <f>_xlfn.XLOOKUP($H38,'(backend scoring)'!$S$2:$S$333,'(backend scoring)'!$A$2:$A$333,"")</f>
      </c>
      <c r="J38" s="208">
        <f>IFERROR(VLOOKUP($I38,'Institution Evaluation'!$A$55:$F$345,2,0),IFERROR(VLOOKUP($I38,'Privacy Analyst Evaluation'!$A$46:$F$120,2,0),""))</f>
      </c>
      <c r="K38" s="208">
        <f>IFERROR(VLOOKUP($I38,'Institution Evaluation'!$A$55:$F$345,3,0),IFERROR(VLOOKUP($I38,'Privacy Analyst Evaluation'!$A$46:$F$120,3,0),""))&amp;""</f>
      </c>
      <c r="L38" s="208">
        <f>IFERROR(VLOOKUP($I38,'Institution Evaluation'!$A$55:$F$345,4,0),IFERROR(VLOOKUP($I38,'Privacy Analyst Evaluation'!$A$46:$F$120,4,0),""))&amp;""</f>
      </c>
      <c r="M38" s="208">
        <f>IFERROR(VLOOKUP($I38,'Institution Evaluation'!$A$55:$F$345,6,0),IFERROR(VLOOKUP($I38,'Privacy Analyst Evaluation'!$A$46:$F$120,6,0),""))&amp;""</f>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2" x14ac:dyDescent="0.2">
      <c r="A39" s="208">
        <f>IFERROR(IF($A38+1&gt;'(backend scoring)'!$T$335,"",$A38+1),"")</f>
      </c>
      <c r="B39" s="208">
        <f>_xlfn.XLOOKUP($A39,'(backend scoring)'!$V$2:$V$333,'(backend scoring)'!$A$2:$A$333,"")</f>
      </c>
      <c r="C39" s="208">
        <f>IFERROR(VLOOKUP($B39,'Institution Evaluation'!$A$55:$F$345,2,0),IFERROR(VLOOKUP($B39,'Privacy Analyst Evaluation'!$A$46:$F$120,2,0),""))&amp;""</f>
      </c>
      <c r="D39" s="208">
        <f>IFERROR(VLOOKUP($B39,'Institution Evaluation'!$A$55:$F$345,3,0),IFERROR(VLOOKUP($B39,'Privacy Analyst Evaluation'!$A$46:$F$120,3,0),""))&amp;""</f>
      </c>
      <c r="E39" s="208">
        <f>IFERROR(VLOOKUP($B39,'Institution Evaluation'!$A$55:$F$345,4,0),IFERROR(VLOOKUP($B39,'Privacy Analyst Evaluation'!$A$46:$F$120,4,0),""))&amp;""</f>
      </c>
      <c r="F39" s="208">
        <f>IFERROR(VLOOKUP($B39,'Institution Evaluation'!$A$55:$F$345,6,0),IFERROR(VLOOKUP($B39,'Privacy Analyst Evaluation'!$A$46:$F$120,6,0),""))&amp;""</f>
      </c>
      <c r="G39" s="209"/>
      <c r="H39" s="208" t="str">
        <f>IFERROR(IF($H38+1&gt;'(backend scoring)'!$Q$335,"",$H38+1),"")</f>
      </c>
      <c r="I39" s="208">
        <f>_xlfn.XLOOKUP($H39,'(backend scoring)'!$S$2:$S$333,'(backend scoring)'!$A$2:$A$333,"")</f>
      </c>
      <c r="J39" s="208">
        <f>IFERROR(VLOOKUP($I39,'Institution Evaluation'!$A$55:$F$345,2,0),IFERROR(VLOOKUP($I39,'Privacy Analyst Evaluation'!$A$46:$F$120,2,0),""))</f>
      </c>
      <c r="K39" s="208">
        <f>IFERROR(VLOOKUP($I39,'Institution Evaluation'!$A$55:$F$345,3,0),IFERROR(VLOOKUP($I39,'Privacy Analyst Evaluation'!$A$46:$F$120,3,0),""))&amp;""</f>
      </c>
      <c r="L39" s="208">
        <f>IFERROR(VLOOKUP($I39,'Institution Evaluation'!$A$55:$F$345,4,0),IFERROR(VLOOKUP($I39,'Privacy Analyst Evaluation'!$A$46:$F$120,4,0),""))&amp;""</f>
      </c>
      <c r="M39" s="208">
        <f>IFERROR(VLOOKUP($I39,'Institution Evaluation'!$A$55:$F$345,6,0),IFERROR(VLOOKUP($I39,'Privacy Analyst Evaluation'!$A$46:$F$120,6,0),""))&amp;""</f>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4" x14ac:dyDescent="0.2">
      <c r="A40" s="208">
        <f>IFERROR(IF($A39+1&gt;'(backend scoring)'!$T$335,"",$A39+1),"")</f>
      </c>
      <c r="B40" s="208">
        <f>_xlfn.XLOOKUP($A40,'(backend scoring)'!$V$2:$V$333,'(backend scoring)'!$A$2:$A$333,"")</f>
      </c>
      <c r="C40" s="208">
        <f>IFERROR(VLOOKUP($B40,'Institution Evaluation'!$A$55:$F$345,2,0),IFERROR(VLOOKUP($B40,'Privacy Analyst Evaluation'!$A$46:$F$120,2,0),""))&amp;""</f>
      </c>
      <c r="D40" s="208">
        <f>IFERROR(VLOOKUP($B40,'Institution Evaluation'!$A$55:$F$345,3,0),IFERROR(VLOOKUP($B40,'Privacy Analyst Evaluation'!$A$46:$F$120,3,0),""))&amp;""</f>
      </c>
      <c r="E40" s="208">
        <f>IFERROR(VLOOKUP($B40,'Institution Evaluation'!$A$55:$F$345,4,0),IFERROR(VLOOKUP($B40,'Privacy Analyst Evaluation'!$A$46:$F$120,4,0),""))&amp;""</f>
      </c>
      <c r="F40" s="208">
        <f>IFERROR(VLOOKUP($B40,'Institution Evaluation'!$A$55:$F$345,6,0),IFERROR(VLOOKUP($B40,'Privacy Analyst Evaluation'!$A$46:$F$120,6,0),""))&amp;""</f>
      </c>
      <c r="G40" s="209"/>
      <c r="H40" s="208" t="str">
        <f>IFERROR(IF($H39+1&gt;'(backend scoring)'!$Q$335,"",$H39+1),"")</f>
      </c>
      <c r="I40" s="208">
        <f>_xlfn.XLOOKUP($H40,'(backend scoring)'!$S$2:$S$333,'(backend scoring)'!$A$2:$A$333,"")</f>
      </c>
      <c r="J40" s="208">
        <f>IFERROR(VLOOKUP($I40,'Institution Evaluation'!$A$55:$F$345,2,0),IFERROR(VLOOKUP($I40,'Privacy Analyst Evaluation'!$A$46:$F$120,2,0),""))</f>
      </c>
      <c r="K40" s="208">
        <f>IFERROR(VLOOKUP($I40,'Institution Evaluation'!$A$55:$F$345,3,0),IFERROR(VLOOKUP($I40,'Privacy Analyst Evaluation'!$A$46:$F$120,3,0),""))&amp;""</f>
      </c>
      <c r="L40" s="208">
        <f>IFERROR(VLOOKUP($I40,'Institution Evaluation'!$A$55:$F$345,4,0),IFERROR(VLOOKUP($I40,'Privacy Analyst Evaluation'!$A$46:$F$120,4,0),""))&amp;""</f>
      </c>
      <c r="M40" s="208">
        <f>IFERROR(VLOOKUP($I40,'Institution Evaluation'!$A$55:$F$345,6,0),IFERROR(VLOOKUP($I40,'Privacy Analyst Evaluation'!$A$46:$F$120,6,0),""))&amp;""</f>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85" x14ac:dyDescent="0.2">
      <c r="A41" s="208">
        <f>IFERROR(IF($A40+1&gt;'(backend scoring)'!$T$335,"",$A40+1),"")</f>
      </c>
      <c r="B41" s="208">
        <f>_xlfn.XLOOKUP($A41,'(backend scoring)'!$V$2:$V$333,'(backend scoring)'!$A$2:$A$333,"")</f>
      </c>
      <c r="C41" s="208">
        <f>IFERROR(VLOOKUP($B41,'Institution Evaluation'!$A$55:$F$345,2,0),IFERROR(VLOOKUP($B41,'Privacy Analyst Evaluation'!$A$46:$F$120,2,0),""))&amp;""</f>
      </c>
      <c r="D41" s="208">
        <f>IFERROR(VLOOKUP($B41,'Institution Evaluation'!$A$55:$F$345,3,0),IFERROR(VLOOKUP($B41,'Privacy Analyst Evaluation'!$A$46:$F$120,3,0),""))&amp;""</f>
      </c>
      <c r="E41" s="208">
        <f>IFERROR(VLOOKUP($B41,'Institution Evaluation'!$A$55:$F$345,4,0),IFERROR(VLOOKUP($B41,'Privacy Analyst Evaluation'!$A$46:$F$120,4,0),""))&amp;""</f>
      </c>
      <c r="F41" s="208">
        <f>IFERROR(VLOOKUP($B41,'Institution Evaluation'!$A$55:$F$345,6,0),IFERROR(VLOOKUP($B41,'Privacy Analyst Evaluation'!$A$46:$F$120,6,0),""))&amp;""</f>
      </c>
      <c r="G41" s="209"/>
      <c r="H41" s="208" t="str">
        <f>IFERROR(IF($H40+1&gt;'(backend scoring)'!$Q$335,"",$H40+1),"")</f>
      </c>
      <c r="I41" s="208">
        <f>_xlfn.XLOOKUP($H41,'(backend scoring)'!$S$2:$S$333,'(backend scoring)'!$A$2:$A$333,"")</f>
      </c>
      <c r="J41" s="208">
        <f>IFERROR(VLOOKUP($I41,'Institution Evaluation'!$A$55:$F$345,2,0),IFERROR(VLOOKUP($I41,'Privacy Analyst Evaluation'!$A$46:$F$120,2,0),""))</f>
      </c>
      <c r="K41" s="208">
        <f>IFERROR(VLOOKUP($I41,'Institution Evaluation'!$A$55:$F$345,3,0),IFERROR(VLOOKUP($I41,'Privacy Analyst Evaluation'!$A$46:$F$120,3,0),""))&amp;""</f>
      </c>
      <c r="L41" s="208">
        <f>IFERROR(VLOOKUP($I41,'Institution Evaluation'!$A$55:$F$345,4,0),IFERROR(VLOOKUP($I41,'Privacy Analyst Evaluation'!$A$46:$F$120,4,0),""))&amp;""</f>
      </c>
      <c r="M41" s="208">
        <f>IFERROR(VLOOKUP($I41,'Institution Evaluation'!$A$55:$F$345,6,0),IFERROR(VLOOKUP($I41,'Privacy Analyst Evaluation'!$A$46:$F$120,6,0),""))&amp;""</f>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34" x14ac:dyDescent="0.2">
      <c r="A42" s="208">
        <f>IFERROR(IF($A41+1&gt;'(backend scoring)'!$T$335,"",$A41+1),"")</f>
      </c>
      <c r="B42" s="208">
        <f>_xlfn.XLOOKUP($A42,'(backend scoring)'!$V$2:$V$333,'(backend scoring)'!$A$2:$A$333,"")</f>
      </c>
      <c r="C42" s="208">
        <f>IFERROR(VLOOKUP($B42,'Institution Evaluation'!$A$55:$F$345,2,0),IFERROR(VLOOKUP($B42,'Privacy Analyst Evaluation'!$A$46:$F$120,2,0),""))&amp;""</f>
      </c>
      <c r="D42" s="208">
        <f>IFERROR(VLOOKUP($B42,'Institution Evaluation'!$A$55:$F$345,3,0),IFERROR(VLOOKUP($B42,'Privacy Analyst Evaluation'!$A$46:$F$120,3,0),""))&amp;""</f>
      </c>
      <c r="E42" s="208">
        <f>IFERROR(VLOOKUP($B42,'Institution Evaluation'!$A$55:$F$345,4,0),IFERROR(VLOOKUP($B42,'Privacy Analyst Evaluation'!$A$46:$F$120,4,0),""))&amp;""</f>
      </c>
      <c r="F42" s="208">
        <f>IFERROR(VLOOKUP($B42,'Institution Evaluation'!$A$55:$F$345,6,0),IFERROR(VLOOKUP($B42,'Privacy Analyst Evaluation'!$A$46:$F$120,6,0),""))&amp;""</f>
      </c>
      <c r="G42" s="209"/>
      <c r="H42" s="208" t="str">
        <f>IFERROR(IF($H41+1&gt;'(backend scoring)'!$Q$335,"",$H41+1),"")</f>
      </c>
      <c r="I42" s="208">
        <f>_xlfn.XLOOKUP($H42,'(backend scoring)'!$S$2:$S$333,'(backend scoring)'!$A$2:$A$333,"")</f>
      </c>
      <c r="J42" s="208">
        <f>IFERROR(VLOOKUP($I42,'Institution Evaluation'!$A$55:$F$345,2,0),IFERROR(VLOOKUP($I42,'Privacy Analyst Evaluation'!$A$46:$F$120,2,0),""))</f>
      </c>
      <c r="K42" s="208">
        <f>IFERROR(VLOOKUP($I42,'Institution Evaluation'!$A$55:$F$345,3,0),IFERROR(VLOOKUP($I42,'Privacy Analyst Evaluation'!$A$46:$F$120,3,0),""))&amp;""</f>
      </c>
      <c r="L42" s="208">
        <f>IFERROR(VLOOKUP($I42,'Institution Evaluation'!$A$55:$F$345,4,0),IFERROR(VLOOKUP($I42,'Privacy Analyst Evaluation'!$A$46:$F$120,4,0),""))&amp;""</f>
      </c>
      <c r="M42" s="208">
        <f>IFERROR(VLOOKUP($I42,'Institution Evaluation'!$A$55:$F$345,6,0),IFERROR(VLOOKUP($I42,'Privacy Analyst Evaluation'!$A$46:$F$120,6,0),""))&amp;""</f>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85" x14ac:dyDescent="0.2">
      <c r="A43" s="208">
        <f>IFERROR(IF($A42+1&gt;'(backend scoring)'!$T$335,"",$A42+1),"")</f>
      </c>
      <c r="B43" s="208">
        <f>_xlfn.XLOOKUP($A43,'(backend scoring)'!$V$2:$V$333,'(backend scoring)'!$A$2:$A$333,"")</f>
      </c>
      <c r="C43" s="208">
        <f>IFERROR(VLOOKUP($B43,'Institution Evaluation'!$A$55:$F$345,2,0),IFERROR(VLOOKUP($B43,'Privacy Analyst Evaluation'!$A$46:$F$120,2,0),""))&amp;""</f>
      </c>
      <c r="D43" s="208">
        <f>IFERROR(VLOOKUP($B43,'Institution Evaluation'!$A$55:$F$345,3,0),IFERROR(VLOOKUP($B43,'Privacy Analyst Evaluation'!$A$46:$F$120,3,0),""))&amp;""</f>
      </c>
      <c r="E43" s="208">
        <f>IFERROR(VLOOKUP($B43,'Institution Evaluation'!$A$55:$F$345,4,0),IFERROR(VLOOKUP($B43,'Privacy Analyst Evaluation'!$A$46:$F$120,4,0),""))&amp;""</f>
      </c>
      <c r="F43" s="208">
        <f>IFERROR(VLOOKUP($B43,'Institution Evaluation'!$A$55:$F$345,6,0),IFERROR(VLOOKUP($B43,'Privacy Analyst Evaluation'!$A$46:$F$120,6,0),""))&amp;""</f>
      </c>
      <c r="G43" s="209"/>
      <c r="H43" s="208" t="str">
        <f>IFERROR(IF($H42+1&gt;'(backend scoring)'!$Q$335,"",$H42+1),"")</f>
      </c>
      <c r="I43" s="208">
        <f>_xlfn.XLOOKUP($H43,'(backend scoring)'!$S$2:$S$333,'(backend scoring)'!$A$2:$A$333,"")</f>
      </c>
      <c r="J43" s="208">
        <f>IFERROR(VLOOKUP($I43,'Institution Evaluation'!$A$55:$F$345,2,0),IFERROR(VLOOKUP($I43,'Privacy Analyst Evaluation'!$A$46:$F$120,2,0),""))</f>
      </c>
      <c r="K43" s="208">
        <f>IFERROR(VLOOKUP($I43,'Institution Evaluation'!$A$55:$F$345,3,0),IFERROR(VLOOKUP($I43,'Privacy Analyst Evaluation'!$A$46:$F$120,3,0),""))&amp;""</f>
      </c>
      <c r="L43" s="208">
        <f>IFERROR(VLOOKUP($I43,'Institution Evaluation'!$A$55:$F$345,4,0),IFERROR(VLOOKUP($I43,'Privacy Analyst Evaluation'!$A$46:$F$120,4,0),""))&amp;""</f>
      </c>
      <c r="M43" s="208">
        <f>IFERROR(VLOOKUP($I43,'Institution Evaluation'!$A$55:$F$345,6,0),IFERROR(VLOOKUP($I43,'Privacy Analyst Evaluation'!$A$46:$F$120,6,0),""))&amp;""</f>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8" x14ac:dyDescent="0.2">
      <c r="A44" s="208">
        <f>IFERROR(IF($A43+1&gt;'(backend scoring)'!$T$335,"",$A43+1),"")</f>
      </c>
      <c r="B44" s="208">
        <f>_xlfn.XLOOKUP($A44,'(backend scoring)'!$V$2:$V$333,'(backend scoring)'!$A$2:$A$333,"")</f>
      </c>
      <c r="C44" s="208">
        <f>IFERROR(VLOOKUP($B44,'Institution Evaluation'!$A$55:$F$345,2,0),IFERROR(VLOOKUP($B44,'Privacy Analyst Evaluation'!$A$46:$F$120,2,0),""))&amp;""</f>
      </c>
      <c r="D44" s="208">
        <f>IFERROR(VLOOKUP($B44,'Institution Evaluation'!$A$55:$F$345,3,0),IFERROR(VLOOKUP($B44,'Privacy Analyst Evaluation'!$A$46:$F$120,3,0),""))&amp;""</f>
      </c>
      <c r="E44" s="208">
        <f>IFERROR(VLOOKUP($B44,'Institution Evaluation'!$A$55:$F$345,4,0),IFERROR(VLOOKUP($B44,'Privacy Analyst Evaluation'!$A$46:$F$120,4,0),""))&amp;""</f>
      </c>
      <c r="F44" s="208">
        <f>IFERROR(VLOOKUP($B44,'Institution Evaluation'!$A$55:$F$345,6,0),IFERROR(VLOOKUP($B44,'Privacy Analyst Evaluation'!$A$46:$F$120,6,0),""))&amp;""</f>
      </c>
      <c r="G44" s="209"/>
      <c r="H44" s="208" t="str">
        <f>IFERROR(IF($H43+1&gt;'(backend scoring)'!$Q$335,"",$H43+1),"")</f>
      </c>
      <c r="I44" s="208">
        <f>_xlfn.XLOOKUP($H44,'(backend scoring)'!$S$2:$S$333,'(backend scoring)'!$A$2:$A$333,"")</f>
      </c>
      <c r="J44" s="208">
        <f>IFERROR(VLOOKUP($I44,'Institution Evaluation'!$A$55:$F$345,2,0),IFERROR(VLOOKUP($I44,'Privacy Analyst Evaluation'!$A$46:$F$120,2,0),""))</f>
      </c>
      <c r="K44" s="208">
        <f>IFERROR(VLOOKUP($I44,'Institution Evaluation'!$A$55:$F$345,3,0),IFERROR(VLOOKUP($I44,'Privacy Analyst Evaluation'!$A$46:$F$120,3,0),""))&amp;""</f>
      </c>
      <c r="L44" s="208">
        <f>IFERROR(VLOOKUP($I44,'Institution Evaluation'!$A$55:$F$345,4,0),IFERROR(VLOOKUP($I44,'Privacy Analyst Evaluation'!$A$46:$F$120,4,0),""))&amp;""</f>
      </c>
      <c r="M44" s="208">
        <f>IFERROR(VLOOKUP($I44,'Institution Evaluation'!$A$55:$F$345,6,0),IFERROR(VLOOKUP($I44,'Privacy Analyst Evaluation'!$A$46:$F$120,6,0),""))&amp;""</f>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85" x14ac:dyDescent="0.2">
      <c r="A45" s="208">
        <f>IFERROR(IF($A44+1&gt;'(backend scoring)'!$T$335,"",$A44+1),"")</f>
      </c>
      <c r="B45" s="208">
        <f>_xlfn.XLOOKUP($A45,'(backend scoring)'!$V$2:$V$333,'(backend scoring)'!$A$2:$A$333,"")</f>
      </c>
      <c r="C45" s="208">
        <f>IFERROR(VLOOKUP($B45,'Institution Evaluation'!$A$55:$F$345,2,0),IFERROR(VLOOKUP($B45,'Privacy Analyst Evaluation'!$A$46:$F$120,2,0),""))&amp;""</f>
      </c>
      <c r="D45" s="208">
        <f>IFERROR(VLOOKUP($B45,'Institution Evaluation'!$A$55:$F$345,3,0),IFERROR(VLOOKUP($B45,'Privacy Analyst Evaluation'!$A$46:$F$120,3,0),""))&amp;""</f>
      </c>
      <c r="E45" s="208">
        <f>IFERROR(VLOOKUP($B45,'Institution Evaluation'!$A$55:$F$345,4,0),IFERROR(VLOOKUP($B45,'Privacy Analyst Evaluation'!$A$46:$F$120,4,0),""))&amp;""</f>
      </c>
      <c r="F45" s="208">
        <f>IFERROR(VLOOKUP($B45,'Institution Evaluation'!$A$55:$F$345,6,0),IFERROR(VLOOKUP($B45,'Privacy Analyst Evaluation'!$A$46:$F$120,6,0),""))&amp;""</f>
      </c>
      <c r="G45" s="209"/>
      <c r="H45" s="208" t="str">
        <f>IFERROR(IF($H44+1&gt;'(backend scoring)'!$Q$335,"",$H44+1),"")</f>
      </c>
      <c r="I45" s="208">
        <f>_xlfn.XLOOKUP($H45,'(backend scoring)'!$S$2:$S$333,'(backend scoring)'!$A$2:$A$333,"")</f>
      </c>
      <c r="J45" s="208">
        <f>IFERROR(VLOOKUP($I45,'Institution Evaluation'!$A$55:$F$345,2,0),IFERROR(VLOOKUP($I45,'Privacy Analyst Evaluation'!$A$46:$F$120,2,0),""))</f>
      </c>
      <c r="K45" s="208">
        <f>IFERROR(VLOOKUP($I45,'Institution Evaluation'!$A$55:$F$345,3,0),IFERROR(VLOOKUP($I45,'Privacy Analyst Evaluation'!$A$46:$F$120,3,0),""))&amp;""</f>
      </c>
      <c r="L45" s="208">
        <f>IFERROR(VLOOKUP($I45,'Institution Evaluation'!$A$55:$F$345,4,0),IFERROR(VLOOKUP($I45,'Privacy Analyst Evaluation'!$A$46:$F$120,4,0),""))&amp;""</f>
      </c>
      <c r="M45" s="208">
        <f>IFERROR(VLOOKUP($I45,'Institution Evaluation'!$A$55:$F$345,6,0),IFERROR(VLOOKUP($I45,'Privacy Analyst Evaluation'!$A$46:$F$120,6,0),""))&amp;""</f>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85" x14ac:dyDescent="0.2">
      <c r="A46" s="208">
        <f>IFERROR(IF($A45+1&gt;'(backend scoring)'!$T$335,"",$A45+1),"")</f>
      </c>
      <c r="B46" s="208">
        <f>_xlfn.XLOOKUP($A46,'(backend scoring)'!$V$2:$V$333,'(backend scoring)'!$A$2:$A$333,"")</f>
      </c>
      <c r="C46" s="208">
        <f>IFERROR(VLOOKUP($B46,'Institution Evaluation'!$A$55:$F$345,2,0),IFERROR(VLOOKUP($B46,'Privacy Analyst Evaluation'!$A$46:$F$120,2,0),""))&amp;""</f>
      </c>
      <c r="D46" s="208">
        <f>IFERROR(VLOOKUP($B46,'Institution Evaluation'!$A$55:$F$345,3,0),IFERROR(VLOOKUP($B46,'Privacy Analyst Evaluation'!$A$46:$F$120,3,0),""))&amp;""</f>
      </c>
      <c r="E46" s="208">
        <f>IFERROR(VLOOKUP($B46,'Institution Evaluation'!$A$55:$F$345,4,0),IFERROR(VLOOKUP($B46,'Privacy Analyst Evaluation'!$A$46:$F$120,4,0),""))&amp;""</f>
      </c>
      <c r="F46" s="208">
        <f>IFERROR(VLOOKUP($B46,'Institution Evaluation'!$A$55:$F$345,6,0),IFERROR(VLOOKUP($B46,'Privacy Analyst Evaluation'!$A$46:$F$120,6,0),""))&amp;""</f>
      </c>
      <c r="G46" s="209"/>
      <c r="H46" s="208" t="str">
        <f>IFERROR(IF($H45+1&gt;'(backend scoring)'!$Q$335,"",$H45+1),"")</f>
      </c>
      <c r="I46" s="208">
        <f>_xlfn.XLOOKUP($H46,'(backend scoring)'!$S$2:$S$333,'(backend scoring)'!$A$2:$A$333,"")</f>
      </c>
      <c r="J46" s="208">
        <f>IFERROR(VLOOKUP($I46,'Institution Evaluation'!$A$55:$F$345,2,0),IFERROR(VLOOKUP($I46,'Privacy Analyst Evaluation'!$A$46:$F$120,2,0),""))</f>
      </c>
      <c r="K46" s="208">
        <f>IFERROR(VLOOKUP($I46,'Institution Evaluation'!$A$55:$F$345,3,0),IFERROR(VLOOKUP($I46,'Privacy Analyst Evaluation'!$A$46:$F$120,3,0),""))&amp;""</f>
      </c>
      <c r="L46" s="208">
        <f>IFERROR(VLOOKUP($I46,'Institution Evaluation'!$A$55:$F$345,4,0),IFERROR(VLOOKUP($I46,'Privacy Analyst Evaluation'!$A$46:$F$120,4,0),""))&amp;""</f>
      </c>
      <c r="M46" s="208">
        <f>IFERROR(VLOOKUP($I46,'Institution Evaluation'!$A$55:$F$345,6,0),IFERROR(VLOOKUP($I46,'Privacy Analyst Evaluation'!$A$46:$F$120,6,0),""))&amp;""</f>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85" x14ac:dyDescent="0.2">
      <c r="A47" s="208">
        <f>IFERROR(IF($A46+1&gt;'(backend scoring)'!$T$335,"",$A46+1),"")</f>
      </c>
      <c r="B47" s="208">
        <f>_xlfn.XLOOKUP($A47,'(backend scoring)'!$V$2:$V$333,'(backend scoring)'!$A$2:$A$333,"")</f>
      </c>
      <c r="C47" s="208">
        <f>IFERROR(VLOOKUP($B47,'Institution Evaluation'!$A$55:$F$345,2,0),IFERROR(VLOOKUP($B47,'Privacy Analyst Evaluation'!$A$46:$F$120,2,0),""))&amp;""</f>
      </c>
      <c r="D47" s="208">
        <f>IFERROR(VLOOKUP($B47,'Institution Evaluation'!$A$55:$F$345,3,0),IFERROR(VLOOKUP($B47,'Privacy Analyst Evaluation'!$A$46:$F$120,3,0),""))&amp;""</f>
      </c>
      <c r="E47" s="208">
        <f>IFERROR(VLOOKUP($B47,'Institution Evaluation'!$A$55:$F$345,4,0),IFERROR(VLOOKUP($B47,'Privacy Analyst Evaluation'!$A$46:$F$120,4,0),""))&amp;""</f>
      </c>
      <c r="F47" s="208">
        <f>IFERROR(VLOOKUP($B47,'Institution Evaluation'!$A$55:$F$345,6,0),IFERROR(VLOOKUP($B47,'Privacy Analyst Evaluation'!$A$46:$F$120,6,0),""))&amp;""</f>
      </c>
      <c r="G47" s="209"/>
      <c r="H47" s="208" t="str">
        <f>IFERROR(IF($H46+1&gt;'(backend scoring)'!$Q$335,"",$H46+1),"")</f>
      </c>
      <c r="I47" s="208">
        <f>_xlfn.XLOOKUP($H47,'(backend scoring)'!$S$2:$S$333,'(backend scoring)'!$A$2:$A$333,"")</f>
      </c>
      <c r="J47" s="208">
        <f>IFERROR(VLOOKUP($I47,'Institution Evaluation'!$A$55:$F$345,2,0),IFERROR(VLOOKUP($I47,'Privacy Analyst Evaluation'!$A$46:$F$120,2,0),""))</f>
      </c>
      <c r="K47" s="208">
        <f>IFERROR(VLOOKUP($I47,'Institution Evaluation'!$A$55:$F$345,3,0),IFERROR(VLOOKUP($I47,'Privacy Analyst Evaluation'!$A$46:$F$120,3,0),""))&amp;""</f>
      </c>
      <c r="L47" s="208">
        <f>IFERROR(VLOOKUP($I47,'Institution Evaluation'!$A$55:$F$345,4,0),IFERROR(VLOOKUP($I47,'Privacy Analyst Evaluation'!$A$46:$F$120,4,0),""))&amp;""</f>
      </c>
      <c r="M47" s="208">
        <f>IFERROR(VLOOKUP($I47,'Institution Evaluation'!$A$55:$F$345,6,0),IFERROR(VLOOKUP($I47,'Privacy Analyst Evaluation'!$A$46:$F$120,6,0),""))&amp;""</f>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102" x14ac:dyDescent="0.2">
      <c r="A48" s="208">
        <f>IFERROR(IF($A47+1&gt;'(backend scoring)'!$T$335,"",$A47+1),"")</f>
      </c>
      <c r="B48" s="208">
        <f>_xlfn.XLOOKUP($A48,'(backend scoring)'!$V$2:$V$333,'(backend scoring)'!$A$2:$A$333,"")</f>
      </c>
      <c r="C48" s="208">
        <f>IFERROR(VLOOKUP($B48,'Institution Evaluation'!$A$55:$F$345,2,0),IFERROR(VLOOKUP($B48,'Privacy Analyst Evaluation'!$A$46:$F$120,2,0),""))&amp;""</f>
      </c>
      <c r="D48" s="208">
        <f>IFERROR(VLOOKUP($B48,'Institution Evaluation'!$A$55:$F$345,3,0),IFERROR(VLOOKUP($B48,'Privacy Analyst Evaluation'!$A$46:$F$120,3,0),""))&amp;""</f>
      </c>
      <c r="E48" s="208">
        <f>IFERROR(VLOOKUP($B48,'Institution Evaluation'!$A$55:$F$345,4,0),IFERROR(VLOOKUP($B48,'Privacy Analyst Evaluation'!$A$46:$F$120,4,0),""))&amp;""</f>
      </c>
      <c r="F48" s="208">
        <f>IFERROR(VLOOKUP($B48,'Institution Evaluation'!$A$55:$F$345,6,0),IFERROR(VLOOKUP($B48,'Privacy Analyst Evaluation'!$A$46:$F$120,6,0),""))&amp;""</f>
      </c>
      <c r="G48" s="209"/>
      <c r="H48" s="208" t="str">
        <f>IFERROR(IF($H47+1&gt;'(backend scoring)'!$Q$335,"",$H47+1),"")</f>
      </c>
      <c r="I48" s="208">
        <f>_xlfn.XLOOKUP($H48,'(backend scoring)'!$S$2:$S$333,'(backend scoring)'!$A$2:$A$333,"")</f>
      </c>
      <c r="J48" s="208">
        <f>IFERROR(VLOOKUP($I48,'Institution Evaluation'!$A$55:$F$345,2,0),IFERROR(VLOOKUP($I48,'Privacy Analyst Evaluation'!$A$46:$F$120,2,0),""))</f>
      </c>
      <c r="K48" s="208">
        <f>IFERROR(VLOOKUP($I48,'Institution Evaluation'!$A$55:$F$345,3,0),IFERROR(VLOOKUP($I48,'Privacy Analyst Evaluation'!$A$46:$F$120,3,0),""))&amp;""</f>
      </c>
      <c r="L48" s="208">
        <f>IFERROR(VLOOKUP($I48,'Institution Evaluation'!$A$55:$F$345,4,0),IFERROR(VLOOKUP($I48,'Privacy Analyst Evaluation'!$A$46:$F$120,4,0),""))&amp;""</f>
      </c>
      <c r="M48" s="208">
        <f>IFERROR(VLOOKUP($I48,'Institution Evaluation'!$A$55:$F$345,6,0),IFERROR(VLOOKUP($I48,'Privacy Analyst Evaluation'!$A$46:$F$120,6,0),""))&amp;""</f>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8" x14ac:dyDescent="0.2">
      <c r="A49" s="208">
        <f>IFERROR(IF($A48+1&gt;'(backend scoring)'!$T$335,"",$A48+1),"")</f>
      </c>
      <c r="B49" s="208">
        <f>_xlfn.XLOOKUP($A49,'(backend scoring)'!$V$2:$V$333,'(backend scoring)'!$A$2:$A$333,"")</f>
      </c>
      <c r="C49" s="208">
        <f>IFERROR(VLOOKUP($B49,'Institution Evaluation'!$A$55:$F$345,2,0),IFERROR(VLOOKUP($B49,'Privacy Analyst Evaluation'!$A$46:$F$120,2,0),""))&amp;""</f>
      </c>
      <c r="D49" s="208">
        <f>IFERROR(VLOOKUP($B49,'Institution Evaluation'!$A$55:$F$345,3,0),IFERROR(VLOOKUP($B49,'Privacy Analyst Evaluation'!$A$46:$F$120,3,0),""))&amp;""</f>
      </c>
      <c r="E49" s="208">
        <f>IFERROR(VLOOKUP($B49,'Institution Evaluation'!$A$55:$F$345,4,0),IFERROR(VLOOKUP($B49,'Privacy Analyst Evaluation'!$A$46:$F$120,4,0),""))&amp;""</f>
      </c>
      <c r="F49" s="208">
        <f>IFERROR(VLOOKUP($B49,'Institution Evaluation'!$A$55:$F$345,6,0),IFERROR(VLOOKUP($B49,'Privacy Analyst Evaluation'!$A$46:$F$120,6,0),""))&amp;""</f>
      </c>
      <c r="G49" s="209"/>
      <c r="H49" s="208" t="str">
        <f>IFERROR(IF($H48+1&gt;'(backend scoring)'!$Q$335,"",$H48+1),"")</f>
      </c>
      <c r="I49" s="208">
        <f>_xlfn.XLOOKUP($H49,'(backend scoring)'!$S$2:$S$333,'(backend scoring)'!$A$2:$A$333,"")</f>
      </c>
      <c r="J49" s="208">
        <f>IFERROR(VLOOKUP($I49,'Institution Evaluation'!$A$55:$F$345,2,0),IFERROR(VLOOKUP($I49,'Privacy Analyst Evaluation'!$A$46:$F$120,2,0),""))</f>
      </c>
      <c r="K49" s="208">
        <f>IFERROR(VLOOKUP($I49,'Institution Evaluation'!$A$55:$F$345,3,0),IFERROR(VLOOKUP($I49,'Privacy Analyst Evaluation'!$A$46:$F$120,3,0),""))&amp;""</f>
      </c>
      <c r="L49" s="208">
        <f>IFERROR(VLOOKUP($I49,'Institution Evaluation'!$A$55:$F$345,4,0),IFERROR(VLOOKUP($I49,'Privacy Analyst Evaluation'!$A$46:$F$120,4,0),""))&amp;""</f>
      </c>
      <c r="M49" s="208">
        <f>IFERROR(VLOOKUP($I49,'Institution Evaluation'!$A$55:$F$345,6,0),IFERROR(VLOOKUP($I49,'Privacy Analyst Evaluation'!$A$46:$F$120,6,0),""))&amp;""</f>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102" x14ac:dyDescent="0.2">
      <c r="A50" s="208">
        <f>IFERROR(IF($A49+1&gt;'(backend scoring)'!$T$335,"",$A49+1),"")</f>
      </c>
      <c r="B50" s="208">
        <f>_xlfn.XLOOKUP($A50,'(backend scoring)'!$V$2:$V$333,'(backend scoring)'!$A$2:$A$333,"")</f>
      </c>
      <c r="C50" s="208">
        <f>IFERROR(VLOOKUP($B50,'Institution Evaluation'!$A$55:$F$345,2,0),IFERROR(VLOOKUP($B50,'Privacy Analyst Evaluation'!$A$46:$F$120,2,0),""))&amp;""</f>
      </c>
      <c r="D50" s="208">
        <f>IFERROR(VLOOKUP($B50,'Institution Evaluation'!$A$55:$F$345,3,0),IFERROR(VLOOKUP($B50,'Privacy Analyst Evaluation'!$A$46:$F$120,3,0),""))&amp;""</f>
      </c>
      <c r="E50" s="208">
        <f>IFERROR(VLOOKUP($B50,'Institution Evaluation'!$A$55:$F$345,4,0),IFERROR(VLOOKUP($B50,'Privacy Analyst Evaluation'!$A$46:$F$120,4,0),""))&amp;""</f>
      </c>
      <c r="F50" s="208">
        <f>IFERROR(VLOOKUP($B50,'Institution Evaluation'!$A$55:$F$345,6,0),IFERROR(VLOOKUP($B50,'Privacy Analyst Evaluation'!$A$46:$F$120,6,0),""))&amp;""</f>
      </c>
      <c r="G50" s="209"/>
      <c r="H50" s="208" t="str">
        <f>IFERROR(IF($H49+1&gt;'(backend scoring)'!$Q$335,"",$H49+1),"")</f>
      </c>
      <c r="I50" s="208">
        <f>_xlfn.XLOOKUP($H50,'(backend scoring)'!$S$2:$S$333,'(backend scoring)'!$A$2:$A$333,"")</f>
      </c>
      <c r="J50" s="208">
        <f>IFERROR(VLOOKUP($I50,'Institution Evaluation'!$A$55:$F$345,2,0),IFERROR(VLOOKUP($I50,'Privacy Analyst Evaluation'!$A$46:$F$120,2,0),""))</f>
      </c>
      <c r="K50" s="208">
        <f>IFERROR(VLOOKUP($I50,'Institution Evaluation'!$A$55:$F$345,3,0),IFERROR(VLOOKUP($I50,'Privacy Analyst Evaluation'!$A$46:$F$120,3,0),""))&amp;""</f>
      </c>
      <c r="L50" s="208">
        <f>IFERROR(VLOOKUP($I50,'Institution Evaluation'!$A$55:$F$345,4,0),IFERROR(VLOOKUP($I50,'Privacy Analyst Evaluation'!$A$46:$F$120,4,0),""))&amp;""</f>
      </c>
      <c r="M50" s="208">
        <f>IFERROR(VLOOKUP($I50,'Institution Evaluation'!$A$55:$F$345,6,0),IFERROR(VLOOKUP($I50,'Privacy Analyst Evaluation'!$A$46:$F$120,6,0),""))&amp;""</f>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51" x14ac:dyDescent="0.2">
      <c r="A51" s="208">
        <f>IFERROR(IF($A50+1&gt;'(backend scoring)'!$T$335,"",$A50+1),"")</f>
      </c>
      <c r="B51" s="208">
        <f>_xlfn.XLOOKUP($A51,'(backend scoring)'!$V$2:$V$333,'(backend scoring)'!$A$2:$A$333,"")</f>
      </c>
      <c r="C51" s="208">
        <f>IFERROR(VLOOKUP($B51,'Institution Evaluation'!$A$55:$F$345,2,0),IFERROR(VLOOKUP($B51,'Privacy Analyst Evaluation'!$A$46:$F$120,2,0),""))&amp;""</f>
      </c>
      <c r="D51" s="208">
        <f>IFERROR(VLOOKUP($B51,'Institution Evaluation'!$A$55:$F$345,3,0),IFERROR(VLOOKUP($B51,'Privacy Analyst Evaluation'!$A$46:$F$120,3,0),""))&amp;""</f>
      </c>
      <c r="E51" s="208">
        <f>IFERROR(VLOOKUP($B51,'Institution Evaluation'!$A$55:$F$345,4,0),IFERROR(VLOOKUP($B51,'Privacy Analyst Evaluation'!$A$46:$F$120,4,0),""))&amp;""</f>
      </c>
      <c r="F51" s="208">
        <f>IFERROR(VLOOKUP($B51,'Institution Evaluation'!$A$55:$F$345,6,0),IFERROR(VLOOKUP($B51,'Privacy Analyst Evaluation'!$A$46:$F$120,6,0),""))&amp;""</f>
      </c>
      <c r="G51" s="209"/>
      <c r="H51" s="208" t="str">
        <f>IFERROR(IF($H50+1&gt;'(backend scoring)'!$Q$335,"",$H50+1),"")</f>
      </c>
      <c r="I51" s="208">
        <f>_xlfn.XLOOKUP($H51,'(backend scoring)'!$S$2:$S$333,'(backend scoring)'!$A$2:$A$333,"")</f>
      </c>
      <c r="J51" s="208">
        <f>IFERROR(VLOOKUP($I51,'Institution Evaluation'!$A$55:$F$345,2,0),IFERROR(VLOOKUP($I51,'Privacy Analyst Evaluation'!$A$46:$F$120,2,0),""))</f>
      </c>
      <c r="K51" s="208">
        <f>IFERROR(VLOOKUP($I51,'Institution Evaluation'!$A$55:$F$345,3,0),IFERROR(VLOOKUP($I51,'Privacy Analyst Evaluation'!$A$46:$F$120,3,0),""))&amp;""</f>
      </c>
      <c r="L51" s="208">
        <f>IFERROR(VLOOKUP($I51,'Institution Evaluation'!$A$55:$F$345,4,0),IFERROR(VLOOKUP($I51,'Privacy Analyst Evaluation'!$A$46:$F$120,4,0),""))&amp;""</f>
      </c>
      <c r="M51" s="208">
        <f>IFERROR(VLOOKUP($I51,'Institution Evaluation'!$A$55:$F$345,6,0),IFERROR(VLOOKUP($I51,'Privacy Analyst Evaluation'!$A$46:$F$120,6,0),""))&amp;""</f>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119" x14ac:dyDescent="0.2">
      <c r="A52" s="208">
        <f>IFERROR(IF($A51+1&gt;'(backend scoring)'!$T$335,"",$A51+1),"")</f>
      </c>
      <c r="B52" s="208">
        <f>_xlfn.XLOOKUP($A52,'(backend scoring)'!$V$2:$V$333,'(backend scoring)'!$A$2:$A$333,"")</f>
      </c>
      <c r="C52" s="208">
        <f>IFERROR(VLOOKUP($B52,'Institution Evaluation'!$A$55:$F$345,2,0),IFERROR(VLOOKUP($B52,'Privacy Analyst Evaluation'!$A$46:$F$120,2,0),""))&amp;""</f>
      </c>
      <c r="D52" s="208">
        <f>IFERROR(VLOOKUP($B52,'Institution Evaluation'!$A$55:$F$345,3,0),IFERROR(VLOOKUP($B52,'Privacy Analyst Evaluation'!$A$46:$F$120,3,0),""))&amp;""</f>
      </c>
      <c r="E52" s="208">
        <f>IFERROR(VLOOKUP($B52,'Institution Evaluation'!$A$55:$F$345,4,0),IFERROR(VLOOKUP($B52,'Privacy Analyst Evaluation'!$A$46:$F$120,4,0),""))&amp;""</f>
      </c>
      <c r="F52" s="208">
        <f>IFERROR(VLOOKUP($B52,'Institution Evaluation'!$A$55:$F$345,6,0),IFERROR(VLOOKUP($B52,'Privacy Analyst Evaluation'!$A$46:$F$120,6,0),""))&amp;""</f>
      </c>
      <c r="G52" s="209"/>
      <c r="H52" s="208" t="str">
        <f>IFERROR(IF($H51+1&gt;'(backend scoring)'!$Q$335,"",$H51+1),"")</f>
      </c>
      <c r="I52" s="208">
        <f>_xlfn.XLOOKUP($H52,'(backend scoring)'!$S$2:$S$333,'(backend scoring)'!$A$2:$A$333,"")</f>
      </c>
      <c r="J52" s="208">
        <f>IFERROR(VLOOKUP($I52,'Institution Evaluation'!$A$55:$F$345,2,0),IFERROR(VLOOKUP($I52,'Privacy Analyst Evaluation'!$A$46:$F$120,2,0),""))</f>
      </c>
      <c r="K52" s="208">
        <f>IFERROR(VLOOKUP($I52,'Institution Evaluation'!$A$55:$F$345,3,0),IFERROR(VLOOKUP($I52,'Privacy Analyst Evaluation'!$A$46:$F$120,3,0),""))&amp;""</f>
      </c>
      <c r="L52" s="208">
        <f>IFERROR(VLOOKUP($I52,'Institution Evaluation'!$A$55:$F$345,4,0),IFERROR(VLOOKUP($I52,'Privacy Analyst Evaluation'!$A$46:$F$120,4,0),""))&amp;""</f>
      </c>
      <c r="M52" s="208">
        <f>IFERROR(VLOOKUP($I52,'Institution Evaluation'!$A$55:$F$345,6,0),IFERROR(VLOOKUP($I52,'Privacy Analyst Evaluation'!$A$46:$F$120,6,0),""))&amp;""</f>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136" x14ac:dyDescent="0.2">
      <c r="A53" s="208">
        <f>IFERROR(IF($A52+1&gt;'(backend scoring)'!$T$335,"",$A52+1),"")</f>
      </c>
      <c r="B53" s="208">
        <f>_xlfn.XLOOKUP($A53,'(backend scoring)'!$V$2:$V$333,'(backend scoring)'!$A$2:$A$333,"")</f>
      </c>
      <c r="C53" s="208">
        <f>IFERROR(VLOOKUP($B53,'Institution Evaluation'!$A$55:$F$345,2,0),IFERROR(VLOOKUP($B53,'Privacy Analyst Evaluation'!$A$46:$F$120,2,0),""))&amp;""</f>
      </c>
      <c r="D53" s="208">
        <f>IFERROR(VLOOKUP($B53,'Institution Evaluation'!$A$55:$F$345,3,0),IFERROR(VLOOKUP($B53,'Privacy Analyst Evaluation'!$A$46:$F$120,3,0),""))&amp;""</f>
      </c>
      <c r="E53" s="208">
        <f>IFERROR(VLOOKUP($B53,'Institution Evaluation'!$A$55:$F$345,4,0),IFERROR(VLOOKUP($B53,'Privacy Analyst Evaluation'!$A$46:$F$120,4,0),""))&amp;""</f>
      </c>
      <c r="F53" s="208">
        <f>IFERROR(VLOOKUP($B53,'Institution Evaluation'!$A$55:$F$345,6,0),IFERROR(VLOOKUP($B53,'Privacy Analyst Evaluation'!$A$46:$F$120,6,0),""))&amp;""</f>
      </c>
      <c r="G53" s="209"/>
      <c r="H53" s="208" t="str">
        <f>IFERROR(IF($H52+1&gt;'(backend scoring)'!$Q$335,"",$H52+1),"")</f>
      </c>
      <c r="I53" s="208">
        <f>_xlfn.XLOOKUP($H53,'(backend scoring)'!$S$2:$S$333,'(backend scoring)'!$A$2:$A$333,"")</f>
      </c>
      <c r="J53" s="208">
        <f>IFERROR(VLOOKUP($I53,'Institution Evaluation'!$A$55:$F$345,2,0),IFERROR(VLOOKUP($I53,'Privacy Analyst Evaluation'!$A$46:$F$120,2,0),""))</f>
      </c>
      <c r="K53" s="208">
        <f>IFERROR(VLOOKUP($I53,'Institution Evaluation'!$A$55:$F$345,3,0),IFERROR(VLOOKUP($I53,'Privacy Analyst Evaluation'!$A$46:$F$120,3,0),""))&amp;""</f>
      </c>
      <c r="L53" s="208">
        <f>IFERROR(VLOOKUP($I53,'Institution Evaluation'!$A$55:$F$345,4,0),IFERROR(VLOOKUP($I53,'Privacy Analyst Evaluation'!$A$46:$F$120,4,0),""))&amp;""</f>
      </c>
      <c r="M53" s="208">
        <f>IFERROR(VLOOKUP($I53,'Institution Evaluation'!$A$55:$F$345,6,0),IFERROR(VLOOKUP($I53,'Privacy Analyst Evaluation'!$A$46:$F$120,6,0),""))&amp;""</f>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102" x14ac:dyDescent="0.2">
      <c r="A54" s="208">
        <f>IFERROR(IF($A53+1&gt;'(backend scoring)'!$T$335,"",$A53+1),"")</f>
      </c>
      <c r="B54" s="208">
        <f>_xlfn.XLOOKUP($A54,'(backend scoring)'!$V$2:$V$333,'(backend scoring)'!$A$2:$A$333,"")</f>
      </c>
      <c r="C54" s="208">
        <f>IFERROR(VLOOKUP($B54,'Institution Evaluation'!$A$55:$F$345,2,0),IFERROR(VLOOKUP($B54,'Privacy Analyst Evaluation'!$A$46:$F$120,2,0),""))&amp;""</f>
      </c>
      <c r="D54" s="208">
        <f>IFERROR(VLOOKUP($B54,'Institution Evaluation'!$A$55:$F$345,3,0),IFERROR(VLOOKUP($B54,'Privacy Analyst Evaluation'!$A$46:$F$120,3,0),""))&amp;""</f>
      </c>
      <c r="E54" s="208">
        <f>IFERROR(VLOOKUP($B54,'Institution Evaluation'!$A$55:$F$345,4,0),IFERROR(VLOOKUP($B54,'Privacy Analyst Evaluation'!$A$46:$F$120,4,0),""))&amp;""</f>
      </c>
      <c r="F54" s="208">
        <f>IFERROR(VLOOKUP($B54,'Institution Evaluation'!$A$55:$F$345,6,0),IFERROR(VLOOKUP($B54,'Privacy Analyst Evaluation'!$A$46:$F$120,6,0),""))&amp;""</f>
      </c>
      <c r="G54" s="209"/>
      <c r="H54" s="208" t="str">
        <f>IFERROR(IF($H53+1&gt;'(backend scoring)'!$Q$335,"",$H53+1),"")</f>
      </c>
      <c r="I54" s="208">
        <f>_xlfn.XLOOKUP($H54,'(backend scoring)'!$S$2:$S$333,'(backend scoring)'!$A$2:$A$333,"")</f>
      </c>
      <c r="J54" s="208">
        <f>IFERROR(VLOOKUP($I54,'Institution Evaluation'!$A$55:$F$345,2,0),IFERROR(VLOOKUP($I54,'Privacy Analyst Evaluation'!$A$46:$F$120,2,0),""))</f>
      </c>
      <c r="K54" s="208">
        <f>IFERROR(VLOOKUP($I54,'Institution Evaluation'!$A$55:$F$345,3,0),IFERROR(VLOOKUP($I54,'Privacy Analyst Evaluation'!$A$46:$F$120,3,0),""))&amp;""</f>
      </c>
      <c r="L54" s="208">
        <f>IFERROR(VLOOKUP($I54,'Institution Evaluation'!$A$55:$F$345,4,0),IFERROR(VLOOKUP($I54,'Privacy Analyst Evaluation'!$A$46:$F$120,4,0),""))&amp;""</f>
      </c>
      <c r="M54" s="208">
        <f>IFERROR(VLOOKUP($I54,'Institution Evaluation'!$A$55:$F$345,6,0),IFERROR(VLOOKUP($I54,'Privacy Analyst Evaluation'!$A$46:$F$120,6,0),""))&amp;""</f>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119" x14ac:dyDescent="0.2">
      <c r="A55" s="208">
        <f>IFERROR(IF($A54+1&gt;'(backend scoring)'!$T$335,"",$A54+1),"")</f>
      </c>
      <c r="B55" s="208">
        <f>_xlfn.XLOOKUP($A55,'(backend scoring)'!$V$2:$V$333,'(backend scoring)'!$A$2:$A$333,"")</f>
      </c>
      <c r="C55" s="208">
        <f>IFERROR(VLOOKUP($B55,'Institution Evaluation'!$A$55:$F$345,2,0),IFERROR(VLOOKUP($B55,'Privacy Analyst Evaluation'!$A$46:$F$120,2,0),""))&amp;""</f>
      </c>
      <c r="D55" s="208">
        <f>IFERROR(VLOOKUP($B55,'Institution Evaluation'!$A$55:$F$345,3,0),IFERROR(VLOOKUP($B55,'Privacy Analyst Evaluation'!$A$46:$F$120,3,0),""))&amp;""</f>
      </c>
      <c r="E55" s="208">
        <f>IFERROR(VLOOKUP($B55,'Institution Evaluation'!$A$55:$F$345,4,0),IFERROR(VLOOKUP($B55,'Privacy Analyst Evaluation'!$A$46:$F$120,4,0),""))&amp;""</f>
      </c>
      <c r="F55" s="208">
        <f>IFERROR(VLOOKUP($B55,'Institution Evaluation'!$A$55:$F$345,6,0),IFERROR(VLOOKUP($B55,'Privacy Analyst Evaluation'!$A$46:$F$120,6,0),""))&amp;""</f>
      </c>
      <c r="G55" s="209"/>
      <c r="H55" s="208" t="str">
        <f>IFERROR(IF($H54+1&gt;'(backend scoring)'!$Q$335,"",$H54+1),"")</f>
      </c>
      <c r="I55" s="208">
        <f>_xlfn.XLOOKUP($H55,'(backend scoring)'!$S$2:$S$333,'(backend scoring)'!$A$2:$A$333,"")</f>
      </c>
      <c r="J55" s="208">
        <f>IFERROR(VLOOKUP($I55,'Institution Evaluation'!$A$55:$F$345,2,0),IFERROR(VLOOKUP($I55,'Privacy Analyst Evaluation'!$A$46:$F$120,2,0),""))</f>
      </c>
      <c r="K55" s="208">
        <f>IFERROR(VLOOKUP($I55,'Institution Evaluation'!$A$55:$F$345,3,0),IFERROR(VLOOKUP($I55,'Privacy Analyst Evaluation'!$A$46:$F$120,3,0),""))&amp;""</f>
      </c>
      <c r="L55" s="208">
        <f>IFERROR(VLOOKUP($I55,'Institution Evaluation'!$A$55:$F$345,4,0),IFERROR(VLOOKUP($I55,'Privacy Analyst Evaluation'!$A$46:$F$120,4,0),""))&amp;""</f>
      </c>
      <c r="M55" s="208">
        <f>IFERROR(VLOOKUP($I55,'Institution Evaluation'!$A$55:$F$345,6,0),IFERROR(VLOOKUP($I55,'Privacy Analyst Evaluation'!$A$46:$F$120,6,0),""))&amp;""</f>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68" x14ac:dyDescent="0.2">
      <c r="A56" s="208">
        <f>IFERROR(IF($A55+1&gt;'(backend scoring)'!$T$335,"",$A55+1),"")</f>
      </c>
      <c r="B56" s="208">
        <f>_xlfn.XLOOKUP($A56,'(backend scoring)'!$V$2:$V$333,'(backend scoring)'!$A$2:$A$333,"")</f>
      </c>
      <c r="C56" s="208">
        <f>IFERROR(VLOOKUP($B56,'Institution Evaluation'!$A$55:$F$345,2,0),IFERROR(VLOOKUP($B56,'Privacy Analyst Evaluation'!$A$46:$F$120,2,0),""))&amp;""</f>
      </c>
      <c r="D56" s="208">
        <f>IFERROR(VLOOKUP($B56,'Institution Evaluation'!$A$55:$F$345,3,0),IFERROR(VLOOKUP($B56,'Privacy Analyst Evaluation'!$A$46:$F$120,3,0),""))&amp;""</f>
      </c>
      <c r="E56" s="208">
        <f>IFERROR(VLOOKUP($B56,'Institution Evaluation'!$A$55:$F$345,4,0),IFERROR(VLOOKUP($B56,'Privacy Analyst Evaluation'!$A$46:$F$120,4,0),""))&amp;""</f>
      </c>
      <c r="F56" s="208">
        <f>IFERROR(VLOOKUP($B56,'Institution Evaluation'!$A$55:$F$345,6,0),IFERROR(VLOOKUP($B56,'Privacy Analyst Evaluation'!$A$46:$F$120,6,0),""))&amp;""</f>
      </c>
      <c r="G56" s="209"/>
      <c r="H56" s="208" t="str">
        <f>IFERROR(IF($H55+1&gt;'(backend scoring)'!$Q$335,"",$H55+1),"")</f>
      </c>
      <c r="I56" s="208">
        <f>_xlfn.XLOOKUP($H56,'(backend scoring)'!$S$2:$S$333,'(backend scoring)'!$A$2:$A$333,"")</f>
      </c>
      <c r="J56" s="208">
        <f>IFERROR(VLOOKUP($I56,'Institution Evaluation'!$A$55:$F$345,2,0),IFERROR(VLOOKUP($I56,'Privacy Analyst Evaluation'!$A$46:$F$120,2,0),""))</f>
      </c>
      <c r="K56" s="208">
        <f>IFERROR(VLOOKUP($I56,'Institution Evaluation'!$A$55:$F$345,3,0),IFERROR(VLOOKUP($I56,'Privacy Analyst Evaluation'!$A$46:$F$120,3,0),""))&amp;""</f>
      </c>
      <c r="L56" s="208">
        <f>IFERROR(VLOOKUP($I56,'Institution Evaluation'!$A$55:$F$345,4,0),IFERROR(VLOOKUP($I56,'Privacy Analyst Evaluation'!$A$46:$F$120,4,0),""))&amp;""</f>
      </c>
      <c r="M56" s="208">
        <f>IFERROR(VLOOKUP($I56,'Institution Evaluation'!$A$55:$F$345,6,0),IFERROR(VLOOKUP($I56,'Privacy Analyst Evaluation'!$A$46:$F$120,6,0),""))&amp;""</f>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68" x14ac:dyDescent="0.2">
      <c r="A57" s="208">
        <f>IFERROR(IF($A56+1&gt;'(backend scoring)'!$T$335,"",$A56+1),"")</f>
      </c>
      <c r="B57" s="208">
        <f>_xlfn.XLOOKUP($A57,'(backend scoring)'!$V$2:$V$333,'(backend scoring)'!$A$2:$A$333,"")</f>
      </c>
      <c r="C57" s="208">
        <f>IFERROR(VLOOKUP($B57,'Institution Evaluation'!$A$55:$F$345,2,0),IFERROR(VLOOKUP($B57,'Privacy Analyst Evaluation'!$A$46:$F$120,2,0),""))&amp;""</f>
      </c>
      <c r="D57" s="208">
        <f>IFERROR(VLOOKUP($B57,'Institution Evaluation'!$A$55:$F$345,3,0),IFERROR(VLOOKUP($B57,'Privacy Analyst Evaluation'!$A$46:$F$120,3,0),""))&amp;""</f>
      </c>
      <c r="E57" s="208">
        <f>IFERROR(VLOOKUP($B57,'Institution Evaluation'!$A$55:$F$345,4,0),IFERROR(VLOOKUP($B57,'Privacy Analyst Evaluation'!$A$46:$F$120,4,0),""))&amp;""</f>
      </c>
      <c r="F57" s="208">
        <f>IFERROR(VLOOKUP($B57,'Institution Evaluation'!$A$55:$F$345,6,0),IFERROR(VLOOKUP($B57,'Privacy Analyst Evaluation'!$A$46:$F$120,6,0),""))&amp;""</f>
      </c>
      <c r="G57" s="209"/>
      <c r="H57" s="208" t="str">
        <f>IFERROR(IF($H56+1&gt;'(backend scoring)'!$Q$335,"",$H56+1),"")</f>
      </c>
      <c r="I57" s="208">
        <f>_xlfn.XLOOKUP($H57,'(backend scoring)'!$S$2:$S$333,'(backend scoring)'!$A$2:$A$333,"")</f>
      </c>
      <c r="J57" s="208">
        <f>IFERROR(VLOOKUP($I57,'Institution Evaluation'!$A$55:$F$345,2,0),IFERROR(VLOOKUP($I57,'Privacy Analyst Evaluation'!$A$46:$F$120,2,0),""))</f>
      </c>
      <c r="K57" s="208">
        <f>IFERROR(VLOOKUP($I57,'Institution Evaluation'!$A$55:$F$345,3,0),IFERROR(VLOOKUP($I57,'Privacy Analyst Evaluation'!$A$46:$F$120,3,0),""))&amp;""</f>
      </c>
      <c r="L57" s="208">
        <f>IFERROR(VLOOKUP($I57,'Institution Evaluation'!$A$55:$F$345,4,0),IFERROR(VLOOKUP($I57,'Privacy Analyst Evaluation'!$A$46:$F$120,4,0),""))&amp;""</f>
      </c>
      <c r="M57" s="208">
        <f>IFERROR(VLOOKUP($I57,'Institution Evaluation'!$A$55:$F$345,6,0),IFERROR(VLOOKUP($I57,'Privacy Analyst Evaluation'!$A$46:$F$120,6,0),""))&amp;""</f>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119" x14ac:dyDescent="0.2">
      <c r="A58" s="208">
        <f>IFERROR(IF($A57+1&gt;'(backend scoring)'!$T$335,"",$A57+1),"")</f>
      </c>
      <c r="B58" s="208">
        <f>_xlfn.XLOOKUP($A58,'(backend scoring)'!$V$2:$V$333,'(backend scoring)'!$A$2:$A$333,"")</f>
      </c>
      <c r="C58" s="208">
        <f>IFERROR(VLOOKUP($B58,'Institution Evaluation'!$A$55:$F$345,2,0),IFERROR(VLOOKUP($B58,'Privacy Analyst Evaluation'!$A$46:$F$120,2,0),""))&amp;""</f>
      </c>
      <c r="D58" s="208">
        <f>IFERROR(VLOOKUP($B58,'Institution Evaluation'!$A$55:$F$345,3,0),IFERROR(VLOOKUP($B58,'Privacy Analyst Evaluation'!$A$46:$F$120,3,0),""))&amp;""</f>
      </c>
      <c r="E58" s="208">
        <f>IFERROR(VLOOKUP($B58,'Institution Evaluation'!$A$55:$F$345,4,0),IFERROR(VLOOKUP($B58,'Privacy Analyst Evaluation'!$A$46:$F$120,4,0),""))&amp;""</f>
      </c>
      <c r="F58" s="208">
        <f>IFERROR(VLOOKUP($B58,'Institution Evaluation'!$A$55:$F$345,6,0),IFERROR(VLOOKUP($B58,'Privacy Analyst Evaluation'!$A$46:$F$120,6,0),""))&amp;""</f>
      </c>
      <c r="G58" s="209"/>
      <c r="H58" s="208" t="str">
        <f>IFERROR(IF($H57+1&gt;'(backend scoring)'!$Q$335,"",$H57+1),"")</f>
      </c>
      <c r="I58" s="208">
        <f>_xlfn.XLOOKUP($H58,'(backend scoring)'!$S$2:$S$333,'(backend scoring)'!$A$2:$A$333,"")</f>
      </c>
      <c r="J58" s="208">
        <f>IFERROR(VLOOKUP($I58,'Institution Evaluation'!$A$55:$F$345,2,0),IFERROR(VLOOKUP($I58,'Privacy Analyst Evaluation'!$A$46:$F$120,2,0),""))</f>
      </c>
      <c r="K58" s="208">
        <f>IFERROR(VLOOKUP($I58,'Institution Evaluation'!$A$55:$F$345,3,0),IFERROR(VLOOKUP($I58,'Privacy Analyst Evaluation'!$A$46:$F$120,3,0),""))&amp;""</f>
      </c>
      <c r="L58" s="208">
        <f>IFERROR(VLOOKUP($I58,'Institution Evaluation'!$A$55:$F$345,4,0),IFERROR(VLOOKUP($I58,'Privacy Analyst Evaluation'!$A$46:$F$120,4,0),""))&amp;""</f>
      </c>
      <c r="M58" s="208">
        <f>IFERROR(VLOOKUP($I58,'Institution Evaluation'!$A$55:$F$345,6,0),IFERROR(VLOOKUP($I58,'Privacy Analyst Evaluation'!$A$46:$F$120,6,0),""))&amp;""</f>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102" x14ac:dyDescent="0.2">
      <c r="A59" s="208">
        <f>IFERROR(IF($A58+1&gt;'(backend scoring)'!$T$335,"",$A58+1),"")</f>
      </c>
      <c r="B59" s="208">
        <f>_xlfn.XLOOKUP($A59,'(backend scoring)'!$V$2:$V$333,'(backend scoring)'!$A$2:$A$333,"")</f>
      </c>
      <c r="C59" s="208">
        <f>IFERROR(VLOOKUP($B59,'Institution Evaluation'!$A$55:$F$345,2,0),IFERROR(VLOOKUP($B59,'Privacy Analyst Evaluation'!$A$46:$F$120,2,0),""))&amp;""</f>
      </c>
      <c r="D59" s="208">
        <f>IFERROR(VLOOKUP($B59,'Institution Evaluation'!$A$55:$F$345,3,0),IFERROR(VLOOKUP($B59,'Privacy Analyst Evaluation'!$A$46:$F$120,3,0),""))&amp;""</f>
      </c>
      <c r="E59" s="208">
        <f>IFERROR(VLOOKUP($B59,'Institution Evaluation'!$A$55:$F$345,4,0),IFERROR(VLOOKUP($B59,'Privacy Analyst Evaluation'!$A$46:$F$120,4,0),""))&amp;""</f>
      </c>
      <c r="F59" s="208">
        <f>IFERROR(VLOOKUP($B59,'Institution Evaluation'!$A$55:$F$345,6,0),IFERROR(VLOOKUP($B59,'Privacy Analyst Evaluation'!$A$46:$F$120,6,0),""))&amp;""</f>
      </c>
      <c r="G59" s="209"/>
      <c r="H59" s="208" t="str">
        <f>IFERROR(IF($H58+1&gt;'(backend scoring)'!$Q$335,"",$H58+1),"")</f>
      </c>
      <c r="I59" s="208">
        <f>_xlfn.XLOOKUP($H59,'(backend scoring)'!$S$2:$S$333,'(backend scoring)'!$A$2:$A$333,"")</f>
      </c>
      <c r="J59" s="208">
        <f>IFERROR(VLOOKUP($I59,'Institution Evaluation'!$A$55:$F$345,2,0),IFERROR(VLOOKUP($I59,'Privacy Analyst Evaluation'!$A$46:$F$120,2,0),""))</f>
      </c>
      <c r="K59" s="208">
        <f>IFERROR(VLOOKUP($I59,'Institution Evaluation'!$A$55:$F$345,3,0),IFERROR(VLOOKUP($I59,'Privacy Analyst Evaluation'!$A$46:$F$120,3,0),""))&amp;""</f>
      </c>
      <c r="L59" s="208">
        <f>IFERROR(VLOOKUP($I59,'Institution Evaluation'!$A$55:$F$345,4,0),IFERROR(VLOOKUP($I59,'Privacy Analyst Evaluation'!$A$46:$F$120,4,0),""))&amp;""</f>
      </c>
      <c r="M59" s="208">
        <f>IFERROR(VLOOKUP($I59,'Institution Evaluation'!$A$55:$F$345,6,0),IFERROR(VLOOKUP($I59,'Privacy Analyst Evaluation'!$A$46:$F$120,6,0),""))&amp;""</f>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153" x14ac:dyDescent="0.2">
      <c r="A60" s="208">
        <f>IFERROR(IF($A59+1&gt;'(backend scoring)'!$T$335,"",$A59+1),"")</f>
      </c>
      <c r="B60" s="208">
        <f>_xlfn.XLOOKUP($A60,'(backend scoring)'!$V$2:$V$333,'(backend scoring)'!$A$2:$A$333,"")</f>
      </c>
      <c r="C60" s="208">
        <f>IFERROR(VLOOKUP($B60,'Institution Evaluation'!$A$55:$F$345,2,0),IFERROR(VLOOKUP($B60,'Privacy Analyst Evaluation'!$A$46:$F$120,2,0),""))&amp;""</f>
      </c>
      <c r="D60" s="208">
        <f>IFERROR(VLOOKUP($B60,'Institution Evaluation'!$A$55:$F$345,3,0),IFERROR(VLOOKUP($B60,'Privacy Analyst Evaluation'!$A$46:$F$120,3,0),""))&amp;""</f>
      </c>
      <c r="E60" s="208">
        <f>IFERROR(VLOOKUP($B60,'Institution Evaluation'!$A$55:$F$345,4,0),IFERROR(VLOOKUP($B60,'Privacy Analyst Evaluation'!$A$46:$F$120,4,0),""))&amp;""</f>
      </c>
      <c r="F60" s="208">
        <f>IFERROR(VLOOKUP($B60,'Institution Evaluation'!$A$55:$F$345,6,0),IFERROR(VLOOKUP($B60,'Privacy Analyst Evaluation'!$A$46:$F$120,6,0),""))&amp;""</f>
      </c>
      <c r="G60" s="209"/>
      <c r="H60" s="208" t="str">
        <f>IFERROR(IF($H59+1&gt;'(backend scoring)'!$Q$335,"",$H59+1),"")</f>
      </c>
      <c r="I60" s="208">
        <f>_xlfn.XLOOKUP($H60,'(backend scoring)'!$S$2:$S$333,'(backend scoring)'!$A$2:$A$333,"")</f>
      </c>
      <c r="J60" s="208">
        <f>IFERROR(VLOOKUP($I60,'Institution Evaluation'!$A$55:$F$345,2,0),IFERROR(VLOOKUP($I60,'Privacy Analyst Evaluation'!$A$46:$F$120,2,0),""))</f>
      </c>
      <c r="K60" s="208">
        <f>IFERROR(VLOOKUP($I60,'Institution Evaluation'!$A$55:$F$345,3,0),IFERROR(VLOOKUP($I60,'Privacy Analyst Evaluation'!$A$46:$F$120,3,0),""))&amp;""</f>
      </c>
      <c r="L60" s="208">
        <f>IFERROR(VLOOKUP($I60,'Institution Evaluation'!$A$55:$F$345,4,0),IFERROR(VLOOKUP($I60,'Privacy Analyst Evaluation'!$A$46:$F$120,4,0),""))&amp;""</f>
      </c>
      <c r="M60" s="208">
        <f>IFERROR(VLOOKUP($I60,'Institution Evaluation'!$A$55:$F$345,6,0),IFERROR(VLOOKUP($I60,'Privacy Analyst Evaluation'!$A$46:$F$120,6,0),""))&amp;""</f>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85" x14ac:dyDescent="0.2">
      <c r="A61" s="208">
        <f>IFERROR(IF($A60+1&gt;'(backend scoring)'!$T$335,"",$A60+1),"")</f>
      </c>
      <c r="B61" s="208">
        <f>_xlfn.XLOOKUP($A61,'(backend scoring)'!$V$2:$V$333,'(backend scoring)'!$A$2:$A$333,"")</f>
      </c>
      <c r="C61" s="208">
        <f>IFERROR(VLOOKUP($B61,'Institution Evaluation'!$A$55:$F$345,2,0),IFERROR(VLOOKUP($B61,'Privacy Analyst Evaluation'!$A$46:$F$120,2,0),""))&amp;""</f>
      </c>
      <c r="D61" s="208">
        <f>IFERROR(VLOOKUP($B61,'Institution Evaluation'!$A$55:$F$345,3,0),IFERROR(VLOOKUP($B61,'Privacy Analyst Evaluation'!$A$46:$F$120,3,0),""))&amp;""</f>
      </c>
      <c r="E61" s="208">
        <f>IFERROR(VLOOKUP($B61,'Institution Evaluation'!$A$55:$F$345,4,0),IFERROR(VLOOKUP($B61,'Privacy Analyst Evaluation'!$A$46:$F$120,4,0),""))&amp;""</f>
      </c>
      <c r="F61" s="208">
        <f>IFERROR(VLOOKUP($B61,'Institution Evaluation'!$A$55:$F$345,6,0),IFERROR(VLOOKUP($B61,'Privacy Analyst Evaluation'!$A$46:$F$120,6,0),""))&amp;""</f>
      </c>
      <c r="G61" s="209"/>
      <c r="H61" s="208" t="str">
        <f>IFERROR(IF($H60+1&gt;'(backend scoring)'!$Q$335,"",$H60+1),"")</f>
      </c>
      <c r="I61" s="208">
        <f>_xlfn.XLOOKUP($H61,'(backend scoring)'!$S$2:$S$333,'(backend scoring)'!$A$2:$A$333,"")</f>
      </c>
      <c r="J61" s="208">
        <f>IFERROR(VLOOKUP($I61,'Institution Evaluation'!$A$55:$F$345,2,0),IFERROR(VLOOKUP($I61,'Privacy Analyst Evaluation'!$A$46:$F$120,2,0),""))</f>
      </c>
      <c r="K61" s="208">
        <f>IFERROR(VLOOKUP($I61,'Institution Evaluation'!$A$55:$F$345,3,0),IFERROR(VLOOKUP($I61,'Privacy Analyst Evaluation'!$A$46:$F$120,3,0),""))&amp;""</f>
      </c>
      <c r="L61" s="208">
        <f>IFERROR(VLOOKUP($I61,'Institution Evaluation'!$A$55:$F$345,4,0),IFERROR(VLOOKUP($I61,'Privacy Analyst Evaluation'!$A$46:$F$120,4,0),""))&amp;""</f>
      </c>
      <c r="M61" s="208">
        <f>IFERROR(VLOOKUP($I61,'Institution Evaluation'!$A$55:$F$345,6,0),IFERROR(VLOOKUP($I61,'Privacy Analyst Evaluation'!$A$46:$F$120,6,0),""))&amp;""</f>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85" x14ac:dyDescent="0.2">
      <c r="A62" s="208">
        <f>IFERROR(IF($A61+1&gt;'(backend scoring)'!$T$335,"",$A61+1),"")</f>
      </c>
      <c r="B62" s="208">
        <f>_xlfn.XLOOKUP($A62,'(backend scoring)'!$V$2:$V$333,'(backend scoring)'!$A$2:$A$333,"")</f>
      </c>
      <c r="C62" s="208">
        <f>IFERROR(VLOOKUP($B62,'Institution Evaluation'!$A$55:$F$345,2,0),IFERROR(VLOOKUP($B62,'Privacy Analyst Evaluation'!$A$46:$F$120,2,0),""))&amp;""</f>
      </c>
      <c r="D62" s="208">
        <f>IFERROR(VLOOKUP($B62,'Institution Evaluation'!$A$55:$F$345,3,0),IFERROR(VLOOKUP($B62,'Privacy Analyst Evaluation'!$A$46:$F$120,3,0),""))&amp;""</f>
      </c>
      <c r="E62" s="208">
        <f>IFERROR(VLOOKUP($B62,'Institution Evaluation'!$A$55:$F$345,4,0),IFERROR(VLOOKUP($B62,'Privacy Analyst Evaluation'!$A$46:$F$120,4,0),""))&amp;""</f>
      </c>
      <c r="F62" s="208">
        <f>IFERROR(VLOOKUP($B62,'Institution Evaluation'!$A$55:$F$345,6,0),IFERROR(VLOOKUP($B62,'Privacy Analyst Evaluation'!$A$46:$F$120,6,0),""))&amp;""</f>
      </c>
      <c r="G62" s="209"/>
      <c r="H62" s="208" t="str">
        <f>IFERROR(IF($H61+1&gt;'(backend scoring)'!$Q$335,"",$H61+1),"")</f>
      </c>
      <c r="I62" s="208">
        <f>_xlfn.XLOOKUP($H62,'(backend scoring)'!$S$2:$S$333,'(backend scoring)'!$A$2:$A$333,"")</f>
      </c>
      <c r="J62" s="208">
        <f>IFERROR(VLOOKUP($I62,'Institution Evaluation'!$A$55:$F$345,2,0),IFERROR(VLOOKUP($I62,'Privacy Analyst Evaluation'!$A$46:$F$120,2,0),""))</f>
      </c>
      <c r="K62" s="208">
        <f>IFERROR(VLOOKUP($I62,'Institution Evaluation'!$A$55:$F$345,3,0),IFERROR(VLOOKUP($I62,'Privacy Analyst Evaluation'!$A$46:$F$120,3,0),""))&amp;""</f>
      </c>
      <c r="L62" s="208">
        <f>IFERROR(VLOOKUP($I62,'Institution Evaluation'!$A$55:$F$345,4,0),IFERROR(VLOOKUP($I62,'Privacy Analyst Evaluation'!$A$46:$F$120,4,0),""))&amp;""</f>
      </c>
      <c r="M62" s="208">
        <f>IFERROR(VLOOKUP($I62,'Institution Evaluation'!$A$55:$F$345,6,0),IFERROR(VLOOKUP($I62,'Privacy Analyst Evaluation'!$A$46:$F$120,6,0),""))&amp;""</f>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8" x14ac:dyDescent="0.2">
      <c r="A63" s="208">
        <f>IFERROR(IF($A62+1&gt;'(backend scoring)'!$T$335,"",$A62+1),"")</f>
      </c>
      <c r="B63" s="208">
        <f>_xlfn.XLOOKUP($A63,'(backend scoring)'!$V$2:$V$333,'(backend scoring)'!$A$2:$A$333,"")</f>
      </c>
      <c r="C63" s="208">
        <f>IFERROR(VLOOKUP($B63,'Institution Evaluation'!$A$55:$F$345,2,0),IFERROR(VLOOKUP($B63,'Privacy Analyst Evaluation'!$A$46:$F$120,2,0),""))&amp;""</f>
      </c>
      <c r="D63" s="208">
        <f>IFERROR(VLOOKUP($B63,'Institution Evaluation'!$A$55:$F$345,3,0),IFERROR(VLOOKUP($B63,'Privacy Analyst Evaluation'!$A$46:$F$120,3,0),""))&amp;""</f>
      </c>
      <c r="E63" s="208">
        <f>IFERROR(VLOOKUP($B63,'Institution Evaluation'!$A$55:$F$345,4,0),IFERROR(VLOOKUP($B63,'Privacy Analyst Evaluation'!$A$46:$F$120,4,0),""))&amp;""</f>
      </c>
      <c r="F63" s="208">
        <f>IFERROR(VLOOKUP($B63,'Institution Evaluation'!$A$55:$F$345,6,0),IFERROR(VLOOKUP($B63,'Privacy Analyst Evaluation'!$A$46:$F$120,6,0),""))&amp;""</f>
      </c>
      <c r="G63" s="209"/>
      <c r="H63" s="208" t="str">
        <f>IFERROR(IF($H62+1&gt;'(backend scoring)'!$Q$335,"",$H62+1),"")</f>
      </c>
      <c r="I63" s="208">
        <f>_xlfn.XLOOKUP($H63,'(backend scoring)'!$S$2:$S$333,'(backend scoring)'!$A$2:$A$333,"")</f>
      </c>
      <c r="J63" s="208">
        <f>IFERROR(VLOOKUP($I63,'Institution Evaluation'!$A$55:$F$345,2,0),IFERROR(VLOOKUP($I63,'Privacy Analyst Evaluation'!$A$46:$F$120,2,0),""))</f>
      </c>
      <c r="K63" s="208">
        <f>IFERROR(VLOOKUP($I63,'Institution Evaluation'!$A$55:$F$345,3,0),IFERROR(VLOOKUP($I63,'Privacy Analyst Evaluation'!$A$46:$F$120,3,0),""))&amp;""</f>
      </c>
      <c r="L63" s="208">
        <f>IFERROR(VLOOKUP($I63,'Institution Evaluation'!$A$55:$F$345,4,0),IFERROR(VLOOKUP($I63,'Privacy Analyst Evaluation'!$A$46:$F$120,4,0),""))&amp;""</f>
      </c>
      <c r="M63" s="208">
        <f>IFERROR(VLOOKUP($I63,'Institution Evaluation'!$A$55:$F$345,6,0),IFERROR(VLOOKUP($I63,'Privacy Analyst Evaluation'!$A$46:$F$120,6,0),""))&amp;""</f>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68" x14ac:dyDescent="0.2">
      <c r="A64" s="208">
        <f>IFERROR(IF($A63+1&gt;'(backend scoring)'!$T$335,"",$A63+1),"")</f>
      </c>
      <c r="B64" s="208">
        <f>_xlfn.XLOOKUP($A64,'(backend scoring)'!$V$2:$V$333,'(backend scoring)'!$A$2:$A$333,"")</f>
      </c>
      <c r="C64" s="208">
        <f>IFERROR(VLOOKUP($B64,'Institution Evaluation'!$A$55:$F$345,2,0),IFERROR(VLOOKUP($B64,'Privacy Analyst Evaluation'!$A$46:$F$120,2,0),""))&amp;""</f>
      </c>
      <c r="D64" s="208">
        <f>IFERROR(VLOOKUP($B64,'Institution Evaluation'!$A$55:$F$345,3,0),IFERROR(VLOOKUP($B64,'Privacy Analyst Evaluation'!$A$46:$F$120,3,0),""))&amp;""</f>
      </c>
      <c r="E64" s="208">
        <f>IFERROR(VLOOKUP($B64,'Institution Evaluation'!$A$55:$F$345,4,0),IFERROR(VLOOKUP($B64,'Privacy Analyst Evaluation'!$A$46:$F$120,4,0),""))&amp;""</f>
      </c>
      <c r="F64" s="208">
        <f>IFERROR(VLOOKUP($B64,'Institution Evaluation'!$A$55:$F$345,6,0),IFERROR(VLOOKUP($B64,'Privacy Analyst Evaluation'!$A$46:$F$120,6,0),""))&amp;""</f>
      </c>
      <c r="G64" s="209"/>
      <c r="H64" s="208" t="str">
        <f>IFERROR(IF($H63+1&gt;'(backend scoring)'!$Q$335,"",$H63+1),"")</f>
      </c>
      <c r="I64" s="208">
        <f>_xlfn.XLOOKUP($H64,'(backend scoring)'!$S$2:$S$333,'(backend scoring)'!$A$2:$A$333,"")</f>
      </c>
      <c r="J64" s="208">
        <f>IFERROR(VLOOKUP($I64,'Institution Evaluation'!$A$55:$F$345,2,0),IFERROR(VLOOKUP($I64,'Privacy Analyst Evaluation'!$A$46:$F$120,2,0),""))</f>
      </c>
      <c r="K64" s="208">
        <f>IFERROR(VLOOKUP($I64,'Institution Evaluation'!$A$55:$F$345,3,0),IFERROR(VLOOKUP($I64,'Privacy Analyst Evaluation'!$A$46:$F$120,3,0),""))&amp;""</f>
      </c>
      <c r="L64" s="208">
        <f>IFERROR(VLOOKUP($I64,'Institution Evaluation'!$A$55:$F$345,4,0),IFERROR(VLOOKUP($I64,'Privacy Analyst Evaluation'!$A$46:$F$120,4,0),""))&amp;""</f>
      </c>
      <c r="M64" s="208">
        <f>IFERROR(VLOOKUP($I64,'Institution Evaluation'!$A$55:$F$345,6,0),IFERROR(VLOOKUP($I64,'Privacy Analyst Evaluation'!$A$46:$F$120,6,0),""))&amp;""</f>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68" x14ac:dyDescent="0.2">
      <c r="A65" s="208">
        <f>IFERROR(IF($A64+1&gt;'(backend scoring)'!$T$335,"",$A64+1),"")</f>
      </c>
      <c r="B65" s="208">
        <f>_xlfn.XLOOKUP($A65,'(backend scoring)'!$V$2:$V$333,'(backend scoring)'!$A$2:$A$333,"")</f>
      </c>
      <c r="C65" s="208">
        <f>IFERROR(VLOOKUP($B65,'Institution Evaluation'!$A$55:$F$345,2,0),IFERROR(VLOOKUP($B65,'Privacy Analyst Evaluation'!$A$46:$F$120,2,0),""))&amp;""</f>
      </c>
      <c r="D65" s="208">
        <f>IFERROR(VLOOKUP($B65,'Institution Evaluation'!$A$55:$F$345,3,0),IFERROR(VLOOKUP($B65,'Privacy Analyst Evaluation'!$A$46:$F$120,3,0),""))&amp;""</f>
      </c>
      <c r="E65" s="208">
        <f>IFERROR(VLOOKUP($B65,'Institution Evaluation'!$A$55:$F$345,4,0),IFERROR(VLOOKUP($B65,'Privacy Analyst Evaluation'!$A$46:$F$120,4,0),""))&amp;""</f>
      </c>
      <c r="F65" s="208">
        <f>IFERROR(VLOOKUP($B65,'Institution Evaluation'!$A$55:$F$345,6,0),IFERROR(VLOOKUP($B65,'Privacy Analyst Evaluation'!$A$46:$F$120,6,0),""))&amp;""</f>
      </c>
      <c r="G65" s="209"/>
      <c r="H65" s="208" t="str">
        <f>IFERROR(IF($H64+1&gt;'(backend scoring)'!$Q$335,"",$H64+1),"")</f>
      </c>
      <c r="I65" s="208">
        <f>_xlfn.XLOOKUP($H65,'(backend scoring)'!$S$2:$S$333,'(backend scoring)'!$A$2:$A$333,"")</f>
      </c>
      <c r="J65" s="208">
        <f>IFERROR(VLOOKUP($I65,'Institution Evaluation'!$A$55:$F$345,2,0),IFERROR(VLOOKUP($I65,'Privacy Analyst Evaluation'!$A$46:$F$120,2,0),""))</f>
      </c>
      <c r="K65" s="208">
        <f>IFERROR(VLOOKUP($I65,'Institution Evaluation'!$A$55:$F$345,3,0),IFERROR(VLOOKUP($I65,'Privacy Analyst Evaluation'!$A$46:$F$120,3,0),""))&amp;""</f>
      </c>
      <c r="L65" s="208">
        <f>IFERROR(VLOOKUP($I65,'Institution Evaluation'!$A$55:$F$345,4,0),IFERROR(VLOOKUP($I65,'Privacy Analyst Evaluation'!$A$46:$F$120,4,0),""))&amp;""</f>
      </c>
      <c r="M65" s="208">
        <f>IFERROR(VLOOKUP($I65,'Institution Evaluation'!$A$55:$F$345,6,0),IFERROR(VLOOKUP($I65,'Privacy Analyst Evaluation'!$A$46:$F$120,6,0),""))&amp;""</f>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85" x14ac:dyDescent="0.2">
      <c r="A66" s="208">
        <f>IFERROR(IF($A65+1&gt;'(backend scoring)'!$T$335,"",$A65+1),"")</f>
      </c>
      <c r="B66" s="208">
        <f>_xlfn.XLOOKUP($A66,'(backend scoring)'!$V$2:$V$333,'(backend scoring)'!$A$2:$A$333,"")</f>
      </c>
      <c r="C66" s="208">
        <f>IFERROR(VLOOKUP($B66,'Institution Evaluation'!$A$55:$F$345,2,0),IFERROR(VLOOKUP($B66,'Privacy Analyst Evaluation'!$A$46:$F$120,2,0),""))&amp;""</f>
      </c>
      <c r="D66" s="208">
        <f>IFERROR(VLOOKUP($B66,'Institution Evaluation'!$A$55:$F$345,3,0),IFERROR(VLOOKUP($B66,'Privacy Analyst Evaluation'!$A$46:$F$120,3,0),""))&amp;""</f>
      </c>
      <c r="E66" s="208">
        <f>IFERROR(VLOOKUP($B66,'Institution Evaluation'!$A$55:$F$345,4,0),IFERROR(VLOOKUP($B66,'Privacy Analyst Evaluation'!$A$46:$F$120,4,0),""))&amp;""</f>
      </c>
      <c r="F66" s="208">
        <f>IFERROR(VLOOKUP($B66,'Institution Evaluation'!$A$55:$F$345,6,0),IFERROR(VLOOKUP($B66,'Privacy Analyst Evaluation'!$A$46:$F$120,6,0),""))&amp;""</f>
      </c>
      <c r="G66" s="209"/>
      <c r="H66" s="208" t="str">
        <f>IFERROR(IF($H65+1&gt;'(backend scoring)'!$Q$335,"",$H65+1),"")</f>
      </c>
      <c r="I66" s="208">
        <f>_xlfn.XLOOKUP($H66,'(backend scoring)'!$S$2:$S$333,'(backend scoring)'!$A$2:$A$333,"")</f>
      </c>
      <c r="J66" s="208">
        <f>IFERROR(VLOOKUP($I66,'Institution Evaluation'!$A$55:$F$345,2,0),IFERROR(VLOOKUP($I66,'Privacy Analyst Evaluation'!$A$46:$F$120,2,0),""))</f>
      </c>
      <c r="K66" s="208">
        <f>IFERROR(VLOOKUP($I66,'Institution Evaluation'!$A$55:$F$345,3,0),IFERROR(VLOOKUP($I66,'Privacy Analyst Evaluation'!$A$46:$F$120,3,0),""))&amp;""</f>
      </c>
      <c r="L66" s="208">
        <f>IFERROR(VLOOKUP($I66,'Institution Evaluation'!$A$55:$F$345,4,0),IFERROR(VLOOKUP($I66,'Privacy Analyst Evaluation'!$A$46:$F$120,4,0),""))&amp;""</f>
      </c>
      <c r="M66" s="208">
        <f>IFERROR(VLOOKUP($I66,'Institution Evaluation'!$A$55:$F$345,6,0),IFERROR(VLOOKUP($I66,'Privacy Analyst Evaluation'!$A$46:$F$120,6,0),""))&amp;""</f>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68" x14ac:dyDescent="0.2">
      <c r="A67" s="208">
        <f>IFERROR(IF($A66+1&gt;'(backend scoring)'!$T$335,"",$A66+1),"")</f>
      </c>
      <c r="B67" s="208">
        <f>_xlfn.XLOOKUP($A67,'(backend scoring)'!$V$2:$V$333,'(backend scoring)'!$A$2:$A$333,"")</f>
      </c>
      <c r="C67" s="208">
        <f>IFERROR(VLOOKUP($B67,'Institution Evaluation'!$A$55:$F$345,2,0),IFERROR(VLOOKUP($B67,'Privacy Analyst Evaluation'!$A$46:$F$120,2,0),""))&amp;""</f>
      </c>
      <c r="D67" s="208">
        <f>IFERROR(VLOOKUP($B67,'Institution Evaluation'!$A$55:$F$345,3,0),IFERROR(VLOOKUP($B67,'Privacy Analyst Evaluation'!$A$46:$F$120,3,0),""))&amp;""</f>
      </c>
      <c r="E67" s="208">
        <f>IFERROR(VLOOKUP($B67,'Institution Evaluation'!$A$55:$F$345,4,0),IFERROR(VLOOKUP($B67,'Privacy Analyst Evaluation'!$A$46:$F$120,4,0),""))&amp;""</f>
      </c>
      <c r="F67" s="208">
        <f>IFERROR(VLOOKUP($B67,'Institution Evaluation'!$A$55:$F$345,6,0),IFERROR(VLOOKUP($B67,'Privacy Analyst Evaluation'!$A$46:$F$120,6,0),""))&amp;""</f>
      </c>
      <c r="G67" s="209"/>
      <c r="H67" s="208" t="str">
        <f>IFERROR(IF($H66+1&gt;'(backend scoring)'!$Q$335,"",$H66+1),"")</f>
      </c>
      <c r="I67" s="208">
        <f>_xlfn.XLOOKUP($H67,'(backend scoring)'!$S$2:$S$333,'(backend scoring)'!$A$2:$A$333,"")</f>
      </c>
      <c r="J67" s="208">
        <f>IFERROR(VLOOKUP($I67,'Institution Evaluation'!$A$55:$F$345,2,0),IFERROR(VLOOKUP($I67,'Privacy Analyst Evaluation'!$A$46:$F$120,2,0),""))</f>
      </c>
      <c r="K67" s="208">
        <f>IFERROR(VLOOKUP($I67,'Institution Evaluation'!$A$55:$F$345,3,0),IFERROR(VLOOKUP($I67,'Privacy Analyst Evaluation'!$A$46:$F$120,3,0),""))&amp;""</f>
      </c>
      <c r="L67" s="208">
        <f>IFERROR(VLOOKUP($I67,'Institution Evaluation'!$A$55:$F$345,4,0),IFERROR(VLOOKUP($I67,'Privacy Analyst Evaluation'!$A$46:$F$120,4,0),""))&amp;""</f>
      </c>
      <c r="M67" s="208">
        <f>IFERROR(VLOOKUP($I67,'Institution Evaluation'!$A$55:$F$345,6,0),IFERROR(VLOOKUP($I67,'Privacy Analyst Evaluation'!$A$46:$F$120,6,0),""))&amp;""</f>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4" x14ac:dyDescent="0.2">
      <c r="A68" s="208">
        <f>IFERROR(IF($A67+1&gt;'(backend scoring)'!$T$335,"",$A67+1),"")</f>
      </c>
      <c r="B68" s="208">
        <f>_xlfn.XLOOKUP($A68,'(backend scoring)'!$V$2:$V$333,'(backend scoring)'!$A$2:$A$333,"")</f>
      </c>
      <c r="C68" s="208">
        <f>IFERROR(VLOOKUP($B68,'Institution Evaluation'!$A$55:$F$345,2,0),IFERROR(VLOOKUP($B68,'Privacy Analyst Evaluation'!$A$46:$F$120,2,0),""))&amp;""</f>
      </c>
      <c r="D68" s="208">
        <f>IFERROR(VLOOKUP($B68,'Institution Evaluation'!$A$55:$F$345,3,0),IFERROR(VLOOKUP($B68,'Privacy Analyst Evaluation'!$A$46:$F$120,3,0),""))&amp;""</f>
      </c>
      <c r="E68" s="208">
        <f>IFERROR(VLOOKUP($B68,'Institution Evaluation'!$A$55:$F$345,4,0),IFERROR(VLOOKUP($B68,'Privacy Analyst Evaluation'!$A$46:$F$120,4,0),""))&amp;""</f>
      </c>
      <c r="F68" s="208">
        <f>IFERROR(VLOOKUP($B68,'Institution Evaluation'!$A$55:$F$345,6,0),IFERROR(VLOOKUP($B68,'Privacy Analyst Evaluation'!$A$46:$F$120,6,0),""))&amp;""</f>
      </c>
      <c r="G68" s="209"/>
      <c r="H68" s="208" t="str">
        <f>IFERROR(IF($H67+1&gt;'(backend scoring)'!$Q$335,"",$H67+1),"")</f>
      </c>
      <c r="I68" s="208">
        <f>_xlfn.XLOOKUP($H68,'(backend scoring)'!$S$2:$S$333,'(backend scoring)'!$A$2:$A$333,"")</f>
      </c>
      <c r="J68" s="208">
        <f>IFERROR(VLOOKUP($I68,'Institution Evaluation'!$A$55:$F$345,2,0),IFERROR(VLOOKUP($I68,'Privacy Analyst Evaluation'!$A$46:$F$120,2,0),""))</f>
      </c>
      <c r="K68" s="208">
        <f>IFERROR(VLOOKUP($I68,'Institution Evaluation'!$A$55:$F$345,3,0),IFERROR(VLOOKUP($I68,'Privacy Analyst Evaluation'!$A$46:$F$120,3,0),""))&amp;""</f>
      </c>
      <c r="L68" s="208">
        <f>IFERROR(VLOOKUP($I68,'Institution Evaluation'!$A$55:$F$345,4,0),IFERROR(VLOOKUP($I68,'Privacy Analyst Evaluation'!$A$46:$F$120,4,0),""))&amp;""</f>
      </c>
      <c r="M68" s="208">
        <f>IFERROR(VLOOKUP($I68,'Institution Evaluation'!$A$55:$F$345,6,0),IFERROR(VLOOKUP($I68,'Privacy Analyst Evaluation'!$A$46:$F$120,6,0),""))&amp;""</f>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4" x14ac:dyDescent="0.2">
      <c r="A69" s="208">
        <f>IFERROR(IF($A68+1&gt;'(backend scoring)'!$T$335,"",$A68+1),"")</f>
      </c>
      <c r="B69" s="208">
        <f>_xlfn.XLOOKUP($A69,'(backend scoring)'!$V$2:$V$333,'(backend scoring)'!$A$2:$A$333,"")</f>
      </c>
      <c r="C69" s="208">
        <f>IFERROR(VLOOKUP($B69,'Institution Evaluation'!$A$55:$F$345,2,0),IFERROR(VLOOKUP($B69,'Privacy Analyst Evaluation'!$A$46:$F$120,2,0),""))&amp;""</f>
      </c>
      <c r="D69" s="208">
        <f>IFERROR(VLOOKUP($B69,'Institution Evaluation'!$A$55:$F$345,3,0),IFERROR(VLOOKUP($B69,'Privacy Analyst Evaluation'!$A$46:$F$120,3,0),""))&amp;""</f>
      </c>
      <c r="E69" s="208">
        <f>IFERROR(VLOOKUP($B69,'Institution Evaluation'!$A$55:$F$345,4,0),IFERROR(VLOOKUP($B69,'Privacy Analyst Evaluation'!$A$46:$F$120,4,0),""))&amp;""</f>
      </c>
      <c r="F69" s="208">
        <f>IFERROR(VLOOKUP($B69,'Institution Evaluation'!$A$55:$F$345,6,0),IFERROR(VLOOKUP($B69,'Privacy Analyst Evaluation'!$A$46:$F$120,6,0),""))&amp;""</f>
      </c>
      <c r="G69" s="209"/>
      <c r="H69" s="208" t="str">
        <f>IFERROR(IF($H68+1&gt;'(backend scoring)'!$Q$335,"",$H68+1),"")</f>
      </c>
      <c r="I69" s="208">
        <f>_xlfn.XLOOKUP($H69,'(backend scoring)'!$S$2:$S$333,'(backend scoring)'!$A$2:$A$333,"")</f>
      </c>
      <c r="J69" s="208">
        <f>IFERROR(VLOOKUP($I69,'Institution Evaluation'!$A$55:$F$345,2,0),IFERROR(VLOOKUP($I69,'Privacy Analyst Evaluation'!$A$46:$F$120,2,0),""))</f>
      </c>
      <c r="K69" s="208">
        <f>IFERROR(VLOOKUP($I69,'Institution Evaluation'!$A$55:$F$345,3,0),IFERROR(VLOOKUP($I69,'Privacy Analyst Evaluation'!$A$46:$F$120,3,0),""))&amp;""</f>
      </c>
      <c r="L69" s="208">
        <f>IFERROR(VLOOKUP($I69,'Institution Evaluation'!$A$55:$F$345,4,0),IFERROR(VLOOKUP($I69,'Privacy Analyst Evaluation'!$A$46:$F$120,4,0),""))&amp;""</f>
      </c>
      <c r="M69" s="208">
        <f>IFERROR(VLOOKUP($I69,'Institution Evaluation'!$A$55:$F$345,6,0),IFERROR(VLOOKUP($I69,'Privacy Analyst Evaluation'!$A$46:$F$120,6,0),""))&amp;""</f>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85" x14ac:dyDescent="0.2">
      <c r="A70" s="208">
        <f>IFERROR(IF($A69+1&gt;'(backend scoring)'!$T$335,"",$A69+1),"")</f>
      </c>
      <c r="B70" s="208">
        <f>_xlfn.XLOOKUP($A70,'(backend scoring)'!$V$2:$V$333,'(backend scoring)'!$A$2:$A$333,"")</f>
      </c>
      <c r="C70" s="208">
        <f>IFERROR(VLOOKUP($B70,'Institution Evaluation'!$A$55:$F$345,2,0),IFERROR(VLOOKUP($B70,'Privacy Analyst Evaluation'!$A$46:$F$120,2,0),""))&amp;""</f>
      </c>
      <c r="D70" s="208">
        <f>IFERROR(VLOOKUP($B70,'Institution Evaluation'!$A$55:$F$345,3,0),IFERROR(VLOOKUP($B70,'Privacy Analyst Evaluation'!$A$46:$F$120,3,0),""))&amp;""</f>
      </c>
      <c r="E70" s="208">
        <f>IFERROR(VLOOKUP($B70,'Institution Evaluation'!$A$55:$F$345,4,0),IFERROR(VLOOKUP($B70,'Privacy Analyst Evaluation'!$A$46:$F$120,4,0),""))&amp;""</f>
      </c>
      <c r="F70" s="208">
        <f>IFERROR(VLOOKUP($B70,'Institution Evaluation'!$A$55:$F$345,6,0),IFERROR(VLOOKUP($B70,'Privacy Analyst Evaluation'!$A$46:$F$120,6,0),""))&amp;""</f>
      </c>
      <c r="G70" s="209"/>
      <c r="H70" s="208" t="str">
        <f>IFERROR(IF($H69+1&gt;'(backend scoring)'!$Q$335,"",$H69+1),"")</f>
      </c>
      <c r="I70" s="208">
        <f>_xlfn.XLOOKUP($H70,'(backend scoring)'!$S$2:$S$333,'(backend scoring)'!$A$2:$A$333,"")</f>
      </c>
      <c r="J70" s="208">
        <f>IFERROR(VLOOKUP($I70,'Institution Evaluation'!$A$55:$F$345,2,0),IFERROR(VLOOKUP($I70,'Privacy Analyst Evaluation'!$A$46:$F$120,2,0),""))</f>
      </c>
      <c r="K70" s="208">
        <f>IFERROR(VLOOKUP($I70,'Institution Evaluation'!$A$55:$F$345,3,0),IFERROR(VLOOKUP($I70,'Privacy Analyst Evaluation'!$A$46:$F$120,3,0),""))&amp;""</f>
      </c>
      <c r="L70" s="208">
        <f>IFERROR(VLOOKUP($I70,'Institution Evaluation'!$A$55:$F$345,4,0),IFERROR(VLOOKUP($I70,'Privacy Analyst Evaluation'!$A$46:$F$120,4,0),""))&amp;""</f>
      </c>
      <c r="M70" s="208">
        <f>IFERROR(VLOOKUP($I70,'Institution Evaluation'!$A$55:$F$345,6,0),IFERROR(VLOOKUP($I70,'Privacy Analyst Evaluation'!$A$46:$F$120,6,0),""))&amp;""</f>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51" x14ac:dyDescent="0.2">
      <c r="A71" s="208">
        <f>IFERROR(IF($A70+1&gt;'(backend scoring)'!$T$335,"",$A70+1),"")</f>
      </c>
      <c r="B71" s="208">
        <f>_xlfn.XLOOKUP($A71,'(backend scoring)'!$V$2:$V$333,'(backend scoring)'!$A$2:$A$333,"")</f>
      </c>
      <c r="C71" s="208">
        <f>IFERROR(VLOOKUP($B71,'Institution Evaluation'!$A$55:$F$345,2,0),IFERROR(VLOOKUP($B71,'Privacy Analyst Evaluation'!$A$46:$F$120,2,0),""))&amp;""</f>
      </c>
      <c r="D71" s="208">
        <f>IFERROR(VLOOKUP($B71,'Institution Evaluation'!$A$55:$F$345,3,0),IFERROR(VLOOKUP($B71,'Privacy Analyst Evaluation'!$A$46:$F$120,3,0),""))&amp;""</f>
      </c>
      <c r="E71" s="208">
        <f>IFERROR(VLOOKUP($B71,'Institution Evaluation'!$A$55:$F$345,4,0),IFERROR(VLOOKUP($B71,'Privacy Analyst Evaluation'!$A$46:$F$120,4,0),""))&amp;""</f>
      </c>
      <c r="F71" s="208">
        <f>IFERROR(VLOOKUP($B71,'Institution Evaluation'!$A$55:$F$345,6,0),IFERROR(VLOOKUP($B71,'Privacy Analyst Evaluation'!$A$46:$F$120,6,0),""))&amp;""</f>
      </c>
      <c r="G71" s="209"/>
      <c r="H71" s="208" t="str">
        <f>IFERROR(IF($H70+1&gt;'(backend scoring)'!$Q$335,"",$H70+1),"")</f>
      </c>
      <c r="I71" s="208">
        <f>_xlfn.XLOOKUP($H71,'(backend scoring)'!$S$2:$S$333,'(backend scoring)'!$A$2:$A$333,"")</f>
      </c>
      <c r="J71" s="208">
        <f>IFERROR(VLOOKUP($I71,'Institution Evaluation'!$A$55:$F$345,2,0),IFERROR(VLOOKUP($I71,'Privacy Analyst Evaluation'!$A$46:$F$120,2,0),""))</f>
      </c>
      <c r="K71" s="208">
        <f>IFERROR(VLOOKUP($I71,'Institution Evaluation'!$A$55:$F$345,3,0),IFERROR(VLOOKUP($I71,'Privacy Analyst Evaluation'!$A$46:$F$120,3,0),""))&amp;""</f>
      </c>
      <c r="L71" s="208">
        <f>IFERROR(VLOOKUP($I71,'Institution Evaluation'!$A$55:$F$345,4,0),IFERROR(VLOOKUP($I71,'Privacy Analyst Evaluation'!$A$46:$F$120,4,0),""))&amp;""</f>
      </c>
      <c r="M71" s="208">
        <f>IFERROR(VLOOKUP($I71,'Institution Evaluation'!$A$55:$F$345,6,0),IFERROR(VLOOKUP($I71,'Privacy Analyst Evaluation'!$A$46:$F$120,6,0),""))&amp;""</f>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4" x14ac:dyDescent="0.2">
      <c r="A72" s="208">
        <f>IFERROR(IF($A71+1&gt;'(backend scoring)'!$T$335,"",$A71+1),"")</f>
      </c>
      <c r="B72" s="208">
        <f>_xlfn.XLOOKUP($A72,'(backend scoring)'!$V$2:$V$333,'(backend scoring)'!$A$2:$A$333,"")</f>
      </c>
      <c r="C72" s="208">
        <f>IFERROR(VLOOKUP($B72,'Institution Evaluation'!$A$55:$F$345,2,0),IFERROR(VLOOKUP($B72,'Privacy Analyst Evaluation'!$A$46:$F$120,2,0),""))&amp;""</f>
      </c>
      <c r="D72" s="208">
        <f>IFERROR(VLOOKUP($B72,'Institution Evaluation'!$A$55:$F$345,3,0),IFERROR(VLOOKUP($B72,'Privacy Analyst Evaluation'!$A$46:$F$120,3,0),""))&amp;""</f>
      </c>
      <c r="E72" s="208">
        <f>IFERROR(VLOOKUP($B72,'Institution Evaluation'!$A$55:$F$345,4,0),IFERROR(VLOOKUP($B72,'Privacy Analyst Evaluation'!$A$46:$F$120,4,0),""))&amp;""</f>
      </c>
      <c r="F72" s="208">
        <f>IFERROR(VLOOKUP($B72,'Institution Evaluation'!$A$55:$F$345,6,0),IFERROR(VLOOKUP($B72,'Privacy Analyst Evaluation'!$A$46:$F$120,6,0),""))&amp;""</f>
      </c>
      <c r="G72" s="209"/>
      <c r="H72" s="208" t="str">
        <f>IFERROR(IF($H71+1&gt;'(backend scoring)'!$Q$335,"",$H71+1),"")</f>
      </c>
      <c r="I72" s="208">
        <f>_xlfn.XLOOKUP($H72,'(backend scoring)'!$S$2:$S$333,'(backend scoring)'!$A$2:$A$333,"")</f>
      </c>
      <c r="J72" s="208">
        <f>IFERROR(VLOOKUP($I72,'Institution Evaluation'!$A$55:$F$345,2,0),IFERROR(VLOOKUP($I72,'Privacy Analyst Evaluation'!$A$46:$F$120,2,0),""))</f>
      </c>
      <c r="K72" s="208">
        <f>IFERROR(VLOOKUP($I72,'Institution Evaluation'!$A$55:$F$345,3,0),IFERROR(VLOOKUP($I72,'Privacy Analyst Evaluation'!$A$46:$F$120,3,0),""))&amp;""</f>
      </c>
      <c r="L72" s="208">
        <f>IFERROR(VLOOKUP($I72,'Institution Evaluation'!$A$55:$F$345,4,0),IFERROR(VLOOKUP($I72,'Privacy Analyst Evaluation'!$A$46:$F$120,4,0),""))&amp;""</f>
      </c>
      <c r="M72" s="208">
        <f>IFERROR(VLOOKUP($I72,'Institution Evaluation'!$A$55:$F$345,6,0),IFERROR(VLOOKUP($I72,'Privacy Analyst Evaluation'!$A$46:$F$120,6,0),""))&amp;""</f>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51" x14ac:dyDescent="0.2">
      <c r="A73" s="208">
        <f>IFERROR(IF($A72+1&gt;'(backend scoring)'!$T$335,"",$A72+1),"")</f>
      </c>
      <c r="B73" s="208">
        <f>_xlfn.XLOOKUP($A73,'(backend scoring)'!$V$2:$V$333,'(backend scoring)'!$A$2:$A$333,"")</f>
      </c>
      <c r="C73" s="208">
        <f>IFERROR(VLOOKUP($B73,'Institution Evaluation'!$A$55:$F$345,2,0),IFERROR(VLOOKUP($B73,'Privacy Analyst Evaluation'!$A$46:$F$120,2,0),""))&amp;""</f>
      </c>
      <c r="D73" s="208">
        <f>IFERROR(VLOOKUP($B73,'Institution Evaluation'!$A$55:$F$345,3,0),IFERROR(VLOOKUP($B73,'Privacy Analyst Evaluation'!$A$46:$F$120,3,0),""))&amp;""</f>
      </c>
      <c r="E73" s="208">
        <f>IFERROR(VLOOKUP($B73,'Institution Evaluation'!$A$55:$F$345,4,0),IFERROR(VLOOKUP($B73,'Privacy Analyst Evaluation'!$A$46:$F$120,4,0),""))&amp;""</f>
      </c>
      <c r="F73" s="208">
        <f>IFERROR(VLOOKUP($B73,'Institution Evaluation'!$A$55:$F$345,6,0),IFERROR(VLOOKUP($B73,'Privacy Analyst Evaluation'!$A$46:$F$120,6,0),""))&amp;""</f>
      </c>
      <c r="G73" s="209"/>
      <c r="H73" s="208" t="str">
        <f>IFERROR(IF($H72+1&gt;'(backend scoring)'!$Q$335,"",$H72+1),"")</f>
      </c>
      <c r="I73" s="208">
        <f>_xlfn.XLOOKUP($H73,'(backend scoring)'!$S$2:$S$333,'(backend scoring)'!$A$2:$A$333,"")</f>
      </c>
      <c r="J73" s="208">
        <f>IFERROR(VLOOKUP($I73,'Institution Evaluation'!$A$55:$F$345,2,0),IFERROR(VLOOKUP($I73,'Privacy Analyst Evaluation'!$A$46:$F$120,2,0),""))</f>
      </c>
      <c r="K73" s="208">
        <f>IFERROR(VLOOKUP($I73,'Institution Evaluation'!$A$55:$F$345,3,0),IFERROR(VLOOKUP($I73,'Privacy Analyst Evaluation'!$A$46:$F$120,3,0),""))&amp;""</f>
      </c>
      <c r="L73" s="208">
        <f>IFERROR(VLOOKUP($I73,'Institution Evaluation'!$A$55:$F$345,4,0),IFERROR(VLOOKUP($I73,'Privacy Analyst Evaluation'!$A$46:$F$120,4,0),""))&amp;""</f>
      </c>
      <c r="M73" s="208">
        <f>IFERROR(VLOOKUP($I73,'Institution Evaluation'!$A$55:$F$345,6,0),IFERROR(VLOOKUP($I73,'Privacy Analyst Evaluation'!$A$46:$F$120,6,0),""))&amp;""</f>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4" x14ac:dyDescent="0.2">
      <c r="A74" s="208">
        <f>IFERROR(IF($A73+1&gt;'(backend scoring)'!$T$335,"",$A73+1),"")</f>
      </c>
      <c r="B74" s="208">
        <f>_xlfn.XLOOKUP($A74,'(backend scoring)'!$V$2:$V$333,'(backend scoring)'!$A$2:$A$333,"")</f>
      </c>
      <c r="C74" s="208">
        <f>IFERROR(VLOOKUP($B74,'Institution Evaluation'!$A$55:$F$345,2,0),IFERROR(VLOOKUP($B74,'Privacy Analyst Evaluation'!$A$46:$F$120,2,0),""))&amp;""</f>
      </c>
      <c r="D74" s="208">
        <f>IFERROR(VLOOKUP($B74,'Institution Evaluation'!$A$55:$F$345,3,0),IFERROR(VLOOKUP($B74,'Privacy Analyst Evaluation'!$A$46:$F$120,3,0),""))&amp;""</f>
      </c>
      <c r="E74" s="208">
        <f>IFERROR(VLOOKUP($B74,'Institution Evaluation'!$A$55:$F$345,4,0),IFERROR(VLOOKUP($B74,'Privacy Analyst Evaluation'!$A$46:$F$120,4,0),""))&amp;""</f>
      </c>
      <c r="F74" s="208">
        <f>IFERROR(VLOOKUP($B74,'Institution Evaluation'!$A$55:$F$345,6,0),IFERROR(VLOOKUP($B74,'Privacy Analyst Evaluation'!$A$46:$F$120,6,0),""))&amp;""</f>
      </c>
      <c r="G74" s="209"/>
      <c r="H74" s="208" t="str">
        <f>IFERROR(IF($H73+1&gt;'(backend scoring)'!$Q$335,"",$H73+1),"")</f>
      </c>
      <c r="I74" s="208">
        <f>_xlfn.XLOOKUP($H74,'(backend scoring)'!$S$2:$S$333,'(backend scoring)'!$A$2:$A$333,"")</f>
      </c>
      <c r="J74" s="208">
        <f>IFERROR(VLOOKUP($I74,'Institution Evaluation'!$A$55:$F$345,2,0),IFERROR(VLOOKUP($I74,'Privacy Analyst Evaluation'!$A$46:$F$120,2,0),""))</f>
      </c>
      <c r="K74" s="208">
        <f>IFERROR(VLOOKUP($I74,'Institution Evaluation'!$A$55:$F$345,3,0),IFERROR(VLOOKUP($I74,'Privacy Analyst Evaluation'!$A$46:$F$120,3,0),""))&amp;""</f>
      </c>
      <c r="L74" s="208">
        <f>IFERROR(VLOOKUP($I74,'Institution Evaluation'!$A$55:$F$345,4,0),IFERROR(VLOOKUP($I74,'Privacy Analyst Evaluation'!$A$46:$F$120,4,0),""))&amp;""</f>
      </c>
      <c r="M74" s="208">
        <f>IFERROR(VLOOKUP($I74,'Institution Evaluation'!$A$55:$F$345,6,0),IFERROR(VLOOKUP($I74,'Privacy Analyst Evaluation'!$A$46:$F$120,6,0),""))&amp;""</f>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85" x14ac:dyDescent="0.2">
      <c r="A75" s="208">
        <f>IFERROR(IF($A74+1&gt;'(backend scoring)'!$T$335,"",$A74+1),"")</f>
      </c>
      <c r="B75" s="208">
        <f>_xlfn.XLOOKUP($A75,'(backend scoring)'!$V$2:$V$333,'(backend scoring)'!$A$2:$A$333,"")</f>
      </c>
      <c r="C75" s="208">
        <f>IFERROR(VLOOKUP($B75,'Institution Evaluation'!$A$55:$F$345,2,0),IFERROR(VLOOKUP($B75,'Privacy Analyst Evaluation'!$A$46:$F$120,2,0),""))&amp;""</f>
      </c>
      <c r="D75" s="208">
        <f>IFERROR(VLOOKUP($B75,'Institution Evaluation'!$A$55:$F$345,3,0),IFERROR(VLOOKUP($B75,'Privacy Analyst Evaluation'!$A$46:$F$120,3,0),""))&amp;""</f>
      </c>
      <c r="E75" s="208">
        <f>IFERROR(VLOOKUP($B75,'Institution Evaluation'!$A$55:$F$345,4,0),IFERROR(VLOOKUP($B75,'Privacy Analyst Evaluation'!$A$46:$F$120,4,0),""))&amp;""</f>
      </c>
      <c r="F75" s="208">
        <f>IFERROR(VLOOKUP($B75,'Institution Evaluation'!$A$55:$F$345,6,0),IFERROR(VLOOKUP($B75,'Privacy Analyst Evaluation'!$A$46:$F$120,6,0),""))&amp;""</f>
      </c>
      <c r="G75" s="209"/>
      <c r="H75" s="208" t="str">
        <f>IFERROR(IF($H74+1&gt;'(backend scoring)'!$Q$335,"",$H74+1),"")</f>
      </c>
      <c r="I75" s="208">
        <f>_xlfn.XLOOKUP($H75,'(backend scoring)'!$S$2:$S$333,'(backend scoring)'!$A$2:$A$333,"")</f>
      </c>
      <c r="J75" s="208">
        <f>IFERROR(VLOOKUP($I75,'Institution Evaluation'!$A$55:$F$345,2,0),IFERROR(VLOOKUP($I75,'Privacy Analyst Evaluation'!$A$46:$F$120,2,0),""))</f>
      </c>
      <c r="K75" s="208">
        <f>IFERROR(VLOOKUP($I75,'Institution Evaluation'!$A$55:$F$345,3,0),IFERROR(VLOOKUP($I75,'Privacy Analyst Evaluation'!$A$46:$F$120,3,0),""))&amp;""</f>
      </c>
      <c r="L75" s="208">
        <f>IFERROR(VLOOKUP($I75,'Institution Evaluation'!$A$55:$F$345,4,0),IFERROR(VLOOKUP($I75,'Privacy Analyst Evaluation'!$A$46:$F$120,4,0),""))&amp;""</f>
      </c>
      <c r="M75" s="208">
        <f>IFERROR(VLOOKUP($I75,'Institution Evaluation'!$A$55:$F$345,6,0),IFERROR(VLOOKUP($I75,'Privacy Analyst Evaluation'!$A$46:$F$120,6,0),""))&amp;""</f>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51" x14ac:dyDescent="0.2">
      <c r="A76" s="208">
        <f>IFERROR(IF($A75+1&gt;'(backend scoring)'!$T$335,"",$A75+1),"")</f>
      </c>
      <c r="B76" s="208">
        <f>_xlfn.XLOOKUP($A76,'(backend scoring)'!$V$2:$V$333,'(backend scoring)'!$A$2:$A$333,"")</f>
      </c>
      <c r="C76" s="208">
        <f>IFERROR(VLOOKUP($B76,'Institution Evaluation'!$A$55:$F$345,2,0),IFERROR(VLOOKUP($B76,'Privacy Analyst Evaluation'!$A$46:$F$120,2,0),""))&amp;""</f>
      </c>
      <c r="D76" s="208">
        <f>IFERROR(VLOOKUP($B76,'Institution Evaluation'!$A$55:$F$345,3,0),IFERROR(VLOOKUP($B76,'Privacy Analyst Evaluation'!$A$46:$F$120,3,0),""))&amp;""</f>
      </c>
      <c r="E76" s="208">
        <f>IFERROR(VLOOKUP($B76,'Institution Evaluation'!$A$55:$F$345,4,0),IFERROR(VLOOKUP($B76,'Privacy Analyst Evaluation'!$A$46:$F$120,4,0),""))&amp;""</f>
      </c>
      <c r="F76" s="208">
        <f>IFERROR(VLOOKUP($B76,'Institution Evaluation'!$A$55:$F$345,6,0),IFERROR(VLOOKUP($B76,'Privacy Analyst Evaluation'!$A$46:$F$120,6,0),""))&amp;""</f>
      </c>
      <c r="G76" s="209"/>
      <c r="H76" s="208" t="str">
        <f>IFERROR(IF($H75+1&gt;'(backend scoring)'!$Q$335,"",$H75+1),"")</f>
      </c>
      <c r="I76" s="208">
        <f>_xlfn.XLOOKUP($H76,'(backend scoring)'!$S$2:$S$333,'(backend scoring)'!$A$2:$A$333,"")</f>
      </c>
      <c r="J76" s="208">
        <f>IFERROR(VLOOKUP($I76,'Institution Evaluation'!$A$55:$F$345,2,0),IFERROR(VLOOKUP($I76,'Privacy Analyst Evaluation'!$A$46:$F$120,2,0),""))</f>
      </c>
      <c r="K76" s="208">
        <f>IFERROR(VLOOKUP($I76,'Institution Evaluation'!$A$55:$F$345,3,0),IFERROR(VLOOKUP($I76,'Privacy Analyst Evaluation'!$A$46:$F$120,3,0),""))&amp;""</f>
      </c>
      <c r="L76" s="208">
        <f>IFERROR(VLOOKUP($I76,'Institution Evaluation'!$A$55:$F$345,4,0),IFERROR(VLOOKUP($I76,'Privacy Analyst Evaluation'!$A$46:$F$120,4,0),""))&amp;""</f>
      </c>
      <c r="M76" s="208">
        <f>IFERROR(VLOOKUP($I76,'Institution Evaluation'!$A$55:$F$345,6,0),IFERROR(VLOOKUP($I76,'Privacy Analyst Evaluation'!$A$46:$F$120,6,0),""))&amp;""</f>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85" x14ac:dyDescent="0.2">
      <c r="A77" s="208">
        <f>IFERROR(IF($A76+1&gt;'(backend scoring)'!$T$335,"",$A76+1),"")</f>
      </c>
      <c r="B77" s="208">
        <f>_xlfn.XLOOKUP($A77,'(backend scoring)'!$V$2:$V$333,'(backend scoring)'!$A$2:$A$333,"")</f>
      </c>
      <c r="C77" s="208">
        <f>IFERROR(VLOOKUP($B77,'Institution Evaluation'!$A$55:$F$345,2,0),IFERROR(VLOOKUP($B77,'Privacy Analyst Evaluation'!$A$46:$F$120,2,0),""))&amp;""</f>
      </c>
      <c r="D77" s="208">
        <f>IFERROR(VLOOKUP($B77,'Institution Evaluation'!$A$55:$F$345,3,0),IFERROR(VLOOKUP($B77,'Privacy Analyst Evaluation'!$A$46:$F$120,3,0),""))&amp;""</f>
      </c>
      <c r="E77" s="208">
        <f>IFERROR(VLOOKUP($B77,'Institution Evaluation'!$A$55:$F$345,4,0),IFERROR(VLOOKUP($B77,'Privacy Analyst Evaluation'!$A$46:$F$120,4,0),""))&amp;""</f>
      </c>
      <c r="F77" s="208">
        <f>IFERROR(VLOOKUP($B77,'Institution Evaluation'!$A$55:$F$345,6,0),IFERROR(VLOOKUP($B77,'Privacy Analyst Evaluation'!$A$46:$F$120,6,0),""))&amp;""</f>
      </c>
      <c r="G77" s="209"/>
      <c r="H77" s="208" t="str">
        <f>IFERROR(IF($H76+1&gt;'(backend scoring)'!$Q$335,"",$H76+1),"")</f>
      </c>
      <c r="I77" s="208">
        <f>_xlfn.XLOOKUP($H77,'(backend scoring)'!$S$2:$S$333,'(backend scoring)'!$A$2:$A$333,"")</f>
      </c>
      <c r="J77" s="208">
        <f>IFERROR(VLOOKUP($I77,'Institution Evaluation'!$A$55:$F$345,2,0),IFERROR(VLOOKUP($I77,'Privacy Analyst Evaluation'!$A$46:$F$120,2,0),""))</f>
      </c>
      <c r="K77" s="208">
        <f>IFERROR(VLOOKUP($I77,'Institution Evaluation'!$A$55:$F$345,3,0),IFERROR(VLOOKUP($I77,'Privacy Analyst Evaluation'!$A$46:$F$120,3,0),""))&amp;""</f>
      </c>
      <c r="L77" s="208">
        <f>IFERROR(VLOOKUP($I77,'Institution Evaluation'!$A$55:$F$345,4,0),IFERROR(VLOOKUP($I77,'Privacy Analyst Evaluation'!$A$46:$F$120,4,0),""))&amp;""</f>
      </c>
      <c r="M77" s="208">
        <f>IFERROR(VLOOKUP($I77,'Institution Evaluation'!$A$55:$F$345,6,0),IFERROR(VLOOKUP($I77,'Privacy Analyst Evaluation'!$A$46:$F$120,6,0),""))&amp;""</f>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8" x14ac:dyDescent="0.2">
      <c r="A78" s="208">
        <f>IFERROR(IF($A77+1&gt;'(backend scoring)'!$T$335,"",$A77+1),"")</f>
      </c>
      <c r="B78" s="208">
        <f>_xlfn.XLOOKUP($A78,'(backend scoring)'!$V$2:$V$333,'(backend scoring)'!$A$2:$A$333,"")</f>
      </c>
      <c r="C78" s="208">
        <f>IFERROR(VLOOKUP($B78,'Institution Evaluation'!$A$55:$F$345,2,0),IFERROR(VLOOKUP($B78,'Privacy Analyst Evaluation'!$A$46:$F$120,2,0),""))&amp;""</f>
      </c>
      <c r="D78" s="208">
        <f>IFERROR(VLOOKUP($B78,'Institution Evaluation'!$A$55:$F$345,3,0),IFERROR(VLOOKUP($B78,'Privacy Analyst Evaluation'!$A$46:$F$120,3,0),""))&amp;""</f>
      </c>
      <c r="E78" s="208">
        <f>IFERROR(VLOOKUP($B78,'Institution Evaluation'!$A$55:$F$345,4,0),IFERROR(VLOOKUP($B78,'Privacy Analyst Evaluation'!$A$46:$F$120,4,0),""))&amp;""</f>
      </c>
      <c r="F78" s="208">
        <f>IFERROR(VLOOKUP($B78,'Institution Evaluation'!$A$55:$F$345,6,0),IFERROR(VLOOKUP($B78,'Privacy Analyst Evaluation'!$A$46:$F$120,6,0),""))&amp;""</f>
      </c>
      <c r="G78" s="209"/>
      <c r="H78" s="208" t="str">
        <f>IFERROR(IF($H77+1&gt;'(backend scoring)'!$Q$335,"",$H77+1),"")</f>
      </c>
      <c r="I78" s="208">
        <f>_xlfn.XLOOKUP($H78,'(backend scoring)'!$S$2:$S$333,'(backend scoring)'!$A$2:$A$333,"")</f>
      </c>
      <c r="J78" s="208">
        <f>IFERROR(VLOOKUP($I78,'Institution Evaluation'!$A$55:$F$345,2,0),IFERROR(VLOOKUP($I78,'Privacy Analyst Evaluation'!$A$46:$F$120,2,0),""))</f>
      </c>
      <c r="K78" s="208">
        <f>IFERROR(VLOOKUP($I78,'Institution Evaluation'!$A$55:$F$345,3,0),IFERROR(VLOOKUP($I78,'Privacy Analyst Evaluation'!$A$46:$F$120,3,0),""))&amp;""</f>
      </c>
      <c r="L78" s="208">
        <f>IFERROR(VLOOKUP($I78,'Institution Evaluation'!$A$55:$F$345,4,0),IFERROR(VLOOKUP($I78,'Privacy Analyst Evaluation'!$A$46:$F$120,4,0),""))&amp;""</f>
      </c>
      <c r="M78" s="208">
        <f>IFERROR(VLOOKUP($I78,'Institution Evaluation'!$A$55:$F$345,6,0),IFERROR(VLOOKUP($I78,'Privacy Analyst Evaluation'!$A$46:$F$120,6,0),""))&amp;""</f>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19" x14ac:dyDescent="0.2">
      <c r="A79" s="208">
        <f>IFERROR(IF($A78+1&gt;'(backend scoring)'!$T$335,"",$A78+1),"")</f>
      </c>
      <c r="B79" s="208">
        <f>_xlfn.XLOOKUP($A79,'(backend scoring)'!$V$2:$V$333,'(backend scoring)'!$A$2:$A$333,"")</f>
      </c>
      <c r="C79" s="208">
        <f>IFERROR(VLOOKUP($B79,'Institution Evaluation'!$A$55:$F$345,2,0),IFERROR(VLOOKUP($B79,'Privacy Analyst Evaluation'!$A$46:$F$120,2,0),""))&amp;""</f>
      </c>
      <c r="D79" s="208">
        <f>IFERROR(VLOOKUP($B79,'Institution Evaluation'!$A$55:$F$345,3,0),IFERROR(VLOOKUP($B79,'Privacy Analyst Evaluation'!$A$46:$F$120,3,0),""))&amp;""</f>
      </c>
      <c r="E79" s="208">
        <f>IFERROR(VLOOKUP($B79,'Institution Evaluation'!$A$55:$F$345,4,0),IFERROR(VLOOKUP($B79,'Privacy Analyst Evaluation'!$A$46:$F$120,4,0),""))&amp;""</f>
      </c>
      <c r="F79" s="208">
        <f>IFERROR(VLOOKUP($B79,'Institution Evaluation'!$A$55:$F$345,6,0),IFERROR(VLOOKUP($B79,'Privacy Analyst Evaluation'!$A$46:$F$120,6,0),""))&amp;""</f>
      </c>
      <c r="G79" s="209"/>
      <c r="H79" s="208" t="str">
        <f>IFERROR(IF($H78+1&gt;'(backend scoring)'!$Q$335,"",$H78+1),"")</f>
      </c>
      <c r="I79" s="208">
        <f>_xlfn.XLOOKUP($H79,'(backend scoring)'!$S$2:$S$333,'(backend scoring)'!$A$2:$A$333,"")</f>
      </c>
      <c r="J79" s="208">
        <f>IFERROR(VLOOKUP($I79,'Institution Evaluation'!$A$55:$F$345,2,0),IFERROR(VLOOKUP($I79,'Privacy Analyst Evaluation'!$A$46:$F$120,2,0),""))</f>
      </c>
      <c r="K79" s="208">
        <f>IFERROR(VLOOKUP($I79,'Institution Evaluation'!$A$55:$F$345,3,0),IFERROR(VLOOKUP($I79,'Privacy Analyst Evaluation'!$A$46:$F$120,3,0),""))&amp;""</f>
      </c>
      <c r="L79" s="208">
        <f>IFERROR(VLOOKUP($I79,'Institution Evaluation'!$A$55:$F$345,4,0),IFERROR(VLOOKUP($I79,'Privacy Analyst Evaluation'!$A$46:$F$120,4,0),""))&amp;""</f>
      </c>
      <c r="M79" s="208">
        <f>IFERROR(VLOOKUP($I79,'Institution Evaluation'!$A$55:$F$345,6,0),IFERROR(VLOOKUP($I79,'Privacy Analyst Evaluation'!$A$46:$F$120,6,0),""))&amp;""</f>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102" x14ac:dyDescent="0.2">
      <c r="A80" s="208">
        <f>IFERROR(IF($A79+1&gt;'(backend scoring)'!$T$335,"",$A79+1),"")</f>
      </c>
      <c r="B80" s="208">
        <f>_xlfn.XLOOKUP($A80,'(backend scoring)'!$V$2:$V$333,'(backend scoring)'!$A$2:$A$333,"")</f>
      </c>
      <c r="C80" s="208">
        <f>IFERROR(VLOOKUP($B80,'Institution Evaluation'!$A$55:$F$345,2,0),IFERROR(VLOOKUP($B80,'Privacy Analyst Evaluation'!$A$46:$F$120,2,0),""))&amp;""</f>
      </c>
      <c r="D80" s="208">
        <f>IFERROR(VLOOKUP($B80,'Institution Evaluation'!$A$55:$F$345,3,0),IFERROR(VLOOKUP($B80,'Privacy Analyst Evaluation'!$A$46:$F$120,3,0),""))&amp;""</f>
      </c>
      <c r="E80" s="208">
        <f>IFERROR(VLOOKUP($B80,'Institution Evaluation'!$A$55:$F$345,4,0),IFERROR(VLOOKUP($B80,'Privacy Analyst Evaluation'!$A$46:$F$120,4,0),""))&amp;""</f>
      </c>
      <c r="F80" s="208">
        <f>IFERROR(VLOOKUP($B80,'Institution Evaluation'!$A$55:$F$345,6,0),IFERROR(VLOOKUP($B80,'Privacy Analyst Evaluation'!$A$46:$F$120,6,0),""))&amp;""</f>
      </c>
      <c r="G80" s="209"/>
      <c r="H80" s="208" t="str">
        <f>IFERROR(IF($H79+1&gt;'(backend scoring)'!$Q$335,"",$H79+1),"")</f>
      </c>
      <c r="I80" s="208">
        <f>_xlfn.XLOOKUP($H80,'(backend scoring)'!$S$2:$S$333,'(backend scoring)'!$A$2:$A$333,"")</f>
      </c>
      <c r="J80" s="208">
        <f>IFERROR(VLOOKUP($I80,'Institution Evaluation'!$A$55:$F$345,2,0),IFERROR(VLOOKUP($I80,'Privacy Analyst Evaluation'!$A$46:$F$120,2,0),""))</f>
      </c>
      <c r="K80" s="208">
        <f>IFERROR(VLOOKUP($I80,'Institution Evaluation'!$A$55:$F$345,3,0),IFERROR(VLOOKUP($I80,'Privacy Analyst Evaluation'!$A$46:$F$120,3,0),""))&amp;""</f>
      </c>
      <c r="L80" s="208">
        <f>IFERROR(VLOOKUP($I80,'Institution Evaluation'!$A$55:$F$345,4,0),IFERROR(VLOOKUP($I80,'Privacy Analyst Evaluation'!$A$46:$F$120,4,0),""))&amp;""</f>
      </c>
      <c r="M80" s="208">
        <f>IFERROR(VLOOKUP($I80,'Institution Evaluation'!$A$55:$F$345,6,0),IFERROR(VLOOKUP($I80,'Privacy Analyst Evaluation'!$A$46:$F$120,6,0),""))&amp;""</f>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4" x14ac:dyDescent="0.2">
      <c r="A81" s="208">
        <f>IFERROR(IF($A80+1&gt;'(backend scoring)'!$T$335,"",$A80+1),"")</f>
      </c>
      <c r="B81" s="208">
        <f>_xlfn.XLOOKUP($A81,'(backend scoring)'!$V$2:$V$333,'(backend scoring)'!$A$2:$A$333,"")</f>
      </c>
      <c r="C81" s="208">
        <f>IFERROR(VLOOKUP($B81,'Institution Evaluation'!$A$55:$F$345,2,0),IFERROR(VLOOKUP($B81,'Privacy Analyst Evaluation'!$A$46:$F$120,2,0),""))&amp;""</f>
      </c>
      <c r="D81" s="208">
        <f>IFERROR(VLOOKUP($B81,'Institution Evaluation'!$A$55:$F$345,3,0),IFERROR(VLOOKUP($B81,'Privacy Analyst Evaluation'!$A$46:$F$120,3,0),""))&amp;""</f>
      </c>
      <c r="E81" s="208">
        <f>IFERROR(VLOOKUP($B81,'Institution Evaluation'!$A$55:$F$345,4,0),IFERROR(VLOOKUP($B81,'Privacy Analyst Evaluation'!$A$46:$F$120,4,0),""))&amp;""</f>
      </c>
      <c r="F81" s="208">
        <f>IFERROR(VLOOKUP($B81,'Institution Evaluation'!$A$55:$F$345,6,0),IFERROR(VLOOKUP($B81,'Privacy Analyst Evaluation'!$A$46:$F$120,6,0),""))&amp;""</f>
      </c>
      <c r="G81" s="209"/>
      <c r="H81" s="208" t="str">
        <f>IFERROR(IF($H80+1&gt;'(backend scoring)'!$Q$335,"",$H80+1),"")</f>
      </c>
      <c r="I81" s="208">
        <f>_xlfn.XLOOKUP($H81,'(backend scoring)'!$S$2:$S$333,'(backend scoring)'!$A$2:$A$333,"")</f>
      </c>
      <c r="J81" s="208">
        <f>IFERROR(VLOOKUP($I81,'Institution Evaluation'!$A$55:$F$345,2,0),IFERROR(VLOOKUP($I81,'Privacy Analyst Evaluation'!$A$46:$F$120,2,0),""))</f>
      </c>
      <c r="K81" s="208">
        <f>IFERROR(VLOOKUP($I81,'Institution Evaluation'!$A$55:$F$345,3,0),IFERROR(VLOOKUP($I81,'Privacy Analyst Evaluation'!$A$46:$F$120,3,0),""))&amp;""</f>
      </c>
      <c r="L81" s="208">
        <f>IFERROR(VLOOKUP($I81,'Institution Evaluation'!$A$55:$F$345,4,0),IFERROR(VLOOKUP($I81,'Privacy Analyst Evaluation'!$A$46:$F$120,4,0),""))&amp;""</f>
      </c>
      <c r="M81" s="208">
        <f>IFERROR(VLOOKUP($I81,'Institution Evaluation'!$A$55:$F$345,6,0),IFERROR(VLOOKUP($I81,'Privacy Analyst Evaluation'!$A$46:$F$120,6,0),""))&amp;""</f>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4" x14ac:dyDescent="0.2">
      <c r="A82" s="208">
        <f>IFERROR(IF($A81+1&gt;'(backend scoring)'!$T$335,"",$A81+1),"")</f>
      </c>
      <c r="B82" s="208">
        <f>_xlfn.XLOOKUP($A82,'(backend scoring)'!$V$2:$V$333,'(backend scoring)'!$A$2:$A$333,"")</f>
      </c>
      <c r="C82" s="208">
        <f>IFERROR(VLOOKUP($B82,'Institution Evaluation'!$A$55:$F$345,2,0),IFERROR(VLOOKUP($B82,'Privacy Analyst Evaluation'!$A$46:$F$120,2,0),""))&amp;""</f>
      </c>
      <c r="D82" s="208">
        <f>IFERROR(VLOOKUP($B82,'Institution Evaluation'!$A$55:$F$345,3,0),IFERROR(VLOOKUP($B82,'Privacy Analyst Evaluation'!$A$46:$F$120,3,0),""))&amp;""</f>
      </c>
      <c r="E82" s="208">
        <f>IFERROR(VLOOKUP($B82,'Institution Evaluation'!$A$55:$F$345,4,0),IFERROR(VLOOKUP($B82,'Privacy Analyst Evaluation'!$A$46:$F$120,4,0),""))&amp;""</f>
      </c>
      <c r="F82" s="208">
        <f>IFERROR(VLOOKUP($B82,'Institution Evaluation'!$A$55:$F$345,6,0),IFERROR(VLOOKUP($B82,'Privacy Analyst Evaluation'!$A$46:$F$120,6,0),""))&amp;""</f>
      </c>
      <c r="G82" s="209"/>
      <c r="H82" s="208" t="str">
        <f>IFERROR(IF($H81+1&gt;'(backend scoring)'!$Q$335,"",$H81+1),"")</f>
      </c>
      <c r="I82" s="208">
        <f>_xlfn.XLOOKUP($H82,'(backend scoring)'!$S$2:$S$333,'(backend scoring)'!$A$2:$A$333,"")</f>
      </c>
      <c r="J82" s="208">
        <f>IFERROR(VLOOKUP($I82,'Institution Evaluation'!$A$55:$F$345,2,0),IFERROR(VLOOKUP($I82,'Privacy Analyst Evaluation'!$A$46:$F$120,2,0),""))</f>
      </c>
      <c r="K82" s="208">
        <f>IFERROR(VLOOKUP($I82,'Institution Evaluation'!$A$55:$F$345,3,0),IFERROR(VLOOKUP($I82,'Privacy Analyst Evaluation'!$A$46:$F$120,3,0),""))&amp;""</f>
      </c>
      <c r="L82" s="208">
        <f>IFERROR(VLOOKUP($I82,'Institution Evaluation'!$A$55:$F$345,4,0),IFERROR(VLOOKUP($I82,'Privacy Analyst Evaluation'!$A$46:$F$120,4,0),""))&amp;""</f>
      </c>
      <c r="M82" s="208">
        <f>IFERROR(VLOOKUP($I82,'Institution Evaluation'!$A$55:$F$345,6,0),IFERROR(VLOOKUP($I82,'Privacy Analyst Evaluation'!$A$46:$F$120,6,0),""))&amp;""</f>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85" x14ac:dyDescent="0.2">
      <c r="A83" s="208">
        <f>IFERROR(IF($A82+1&gt;'(backend scoring)'!$T$335,"",$A82+1),"")</f>
      </c>
      <c r="B83" s="208">
        <f>_xlfn.XLOOKUP($A83,'(backend scoring)'!$V$2:$V$333,'(backend scoring)'!$A$2:$A$333,"")</f>
      </c>
      <c r="C83" s="208">
        <f>IFERROR(VLOOKUP($B83,'Institution Evaluation'!$A$55:$F$345,2,0),IFERROR(VLOOKUP($B83,'Privacy Analyst Evaluation'!$A$46:$F$120,2,0),""))&amp;""</f>
      </c>
      <c r="D83" s="208">
        <f>IFERROR(VLOOKUP($B83,'Institution Evaluation'!$A$55:$F$345,3,0),IFERROR(VLOOKUP($B83,'Privacy Analyst Evaluation'!$A$46:$F$120,3,0),""))&amp;""</f>
      </c>
      <c r="E83" s="208">
        <f>IFERROR(VLOOKUP($B83,'Institution Evaluation'!$A$55:$F$345,4,0),IFERROR(VLOOKUP($B83,'Privacy Analyst Evaluation'!$A$46:$F$120,4,0),""))&amp;""</f>
      </c>
      <c r="F83" s="208">
        <f>IFERROR(VLOOKUP($B83,'Institution Evaluation'!$A$55:$F$345,6,0),IFERROR(VLOOKUP($B83,'Privacy Analyst Evaluation'!$A$46:$F$120,6,0),""))&amp;""</f>
      </c>
      <c r="G83" s="209"/>
      <c r="H83" s="208" t="str">
        <f>IFERROR(IF($H82+1&gt;'(backend scoring)'!$Q$335,"",$H82+1),"")</f>
      </c>
      <c r="I83" s="208">
        <f>_xlfn.XLOOKUP($H83,'(backend scoring)'!$S$2:$S$333,'(backend scoring)'!$A$2:$A$333,"")</f>
      </c>
      <c r="J83" s="208">
        <f>IFERROR(VLOOKUP($I83,'Institution Evaluation'!$A$55:$F$345,2,0),IFERROR(VLOOKUP($I83,'Privacy Analyst Evaluation'!$A$46:$F$120,2,0),""))</f>
      </c>
      <c r="K83" s="208">
        <f>IFERROR(VLOOKUP($I83,'Institution Evaluation'!$A$55:$F$345,3,0),IFERROR(VLOOKUP($I83,'Privacy Analyst Evaluation'!$A$46:$F$120,3,0),""))&amp;""</f>
      </c>
      <c r="L83" s="208">
        <f>IFERROR(VLOOKUP($I83,'Institution Evaluation'!$A$55:$F$345,4,0),IFERROR(VLOOKUP($I83,'Privacy Analyst Evaluation'!$A$46:$F$120,4,0),""))&amp;""</f>
      </c>
      <c r="M83" s="208">
        <f>IFERROR(VLOOKUP($I83,'Institution Evaluation'!$A$55:$F$345,6,0),IFERROR(VLOOKUP($I83,'Privacy Analyst Evaluation'!$A$46:$F$120,6,0),""))&amp;""</f>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119" x14ac:dyDescent="0.2">
      <c r="A84" s="208">
        <f>IFERROR(IF($A83+1&gt;'(backend scoring)'!$T$335,"",$A83+1),"")</f>
      </c>
      <c r="B84" s="208">
        <f>_xlfn.XLOOKUP($A84,'(backend scoring)'!$V$2:$V$333,'(backend scoring)'!$A$2:$A$333,"")</f>
      </c>
      <c r="C84" s="208">
        <f>IFERROR(VLOOKUP($B84,'Institution Evaluation'!$A$55:$F$345,2,0),IFERROR(VLOOKUP($B84,'Privacy Analyst Evaluation'!$A$46:$F$120,2,0),""))&amp;""</f>
      </c>
      <c r="D84" s="208">
        <f>IFERROR(VLOOKUP($B84,'Institution Evaluation'!$A$55:$F$345,3,0),IFERROR(VLOOKUP($B84,'Privacy Analyst Evaluation'!$A$46:$F$120,3,0),""))&amp;""</f>
      </c>
      <c r="E84" s="208">
        <f>IFERROR(VLOOKUP($B84,'Institution Evaluation'!$A$55:$F$345,4,0),IFERROR(VLOOKUP($B84,'Privacy Analyst Evaluation'!$A$46:$F$120,4,0),""))&amp;""</f>
      </c>
      <c r="F84" s="208">
        <f>IFERROR(VLOOKUP($B84,'Institution Evaluation'!$A$55:$F$345,6,0),IFERROR(VLOOKUP($B84,'Privacy Analyst Evaluation'!$A$46:$F$120,6,0),""))&amp;""</f>
      </c>
      <c r="G84" s="209"/>
      <c r="H84" s="208" t="str">
        <f>IFERROR(IF($H83+1&gt;'(backend scoring)'!$Q$335,"",$H83+1),"")</f>
      </c>
      <c r="I84" s="208">
        <f>_xlfn.XLOOKUP($H84,'(backend scoring)'!$S$2:$S$333,'(backend scoring)'!$A$2:$A$333,"")</f>
      </c>
      <c r="J84" s="208">
        <f>IFERROR(VLOOKUP($I84,'Institution Evaluation'!$A$55:$F$345,2,0),IFERROR(VLOOKUP($I84,'Privacy Analyst Evaluation'!$A$46:$F$120,2,0),""))</f>
      </c>
      <c r="K84" s="208">
        <f>IFERROR(VLOOKUP($I84,'Institution Evaluation'!$A$55:$F$345,3,0),IFERROR(VLOOKUP($I84,'Privacy Analyst Evaluation'!$A$46:$F$120,3,0),""))&amp;""</f>
      </c>
      <c r="L84" s="208">
        <f>IFERROR(VLOOKUP($I84,'Institution Evaluation'!$A$55:$F$345,4,0),IFERROR(VLOOKUP($I84,'Privacy Analyst Evaluation'!$A$46:$F$120,4,0),""))&amp;""</f>
      </c>
      <c r="M84" s="208">
        <f>IFERROR(VLOOKUP($I84,'Institution Evaluation'!$A$55:$F$345,6,0),IFERROR(VLOOKUP($I84,'Privacy Analyst Evaluation'!$A$46:$F$120,6,0),""))&amp;""</f>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8" x14ac:dyDescent="0.2">
      <c r="A85" s="208">
        <f>IFERROR(IF($A84+1&gt;'(backend scoring)'!$T$335,"",$A84+1),"")</f>
      </c>
      <c r="B85" s="208">
        <f>_xlfn.XLOOKUP($A85,'(backend scoring)'!$V$2:$V$333,'(backend scoring)'!$A$2:$A$333,"")</f>
      </c>
      <c r="C85" s="208">
        <f>IFERROR(VLOOKUP($B85,'Institution Evaluation'!$A$55:$F$345,2,0),IFERROR(VLOOKUP($B85,'Privacy Analyst Evaluation'!$A$46:$F$120,2,0),""))&amp;""</f>
      </c>
      <c r="D85" s="208">
        <f>IFERROR(VLOOKUP($B85,'Institution Evaluation'!$A$55:$F$345,3,0),IFERROR(VLOOKUP($B85,'Privacy Analyst Evaluation'!$A$46:$F$120,3,0),""))&amp;""</f>
      </c>
      <c r="E85" s="208">
        <f>IFERROR(VLOOKUP($B85,'Institution Evaluation'!$A$55:$F$345,4,0),IFERROR(VLOOKUP($B85,'Privacy Analyst Evaluation'!$A$46:$F$120,4,0),""))&amp;""</f>
      </c>
      <c r="F85" s="208">
        <f>IFERROR(VLOOKUP($B85,'Institution Evaluation'!$A$55:$F$345,6,0),IFERROR(VLOOKUP($B85,'Privacy Analyst Evaluation'!$A$46:$F$120,6,0),""))&amp;""</f>
      </c>
      <c r="G85" s="209"/>
      <c r="H85" s="208" t="str">
        <f>IFERROR(IF($H84+1&gt;'(backend scoring)'!$Q$335,"",$H84+1),"")</f>
      </c>
      <c r="I85" s="208">
        <f>_xlfn.XLOOKUP($H85,'(backend scoring)'!$S$2:$S$333,'(backend scoring)'!$A$2:$A$333,"")</f>
      </c>
      <c r="J85" s="208">
        <f>IFERROR(VLOOKUP($I85,'Institution Evaluation'!$A$55:$F$345,2,0),IFERROR(VLOOKUP($I85,'Privacy Analyst Evaluation'!$A$46:$F$120,2,0),""))</f>
      </c>
      <c r="K85" s="208">
        <f>IFERROR(VLOOKUP($I85,'Institution Evaluation'!$A$55:$F$345,3,0),IFERROR(VLOOKUP($I85,'Privacy Analyst Evaluation'!$A$46:$F$120,3,0),""))&amp;""</f>
      </c>
      <c r="L85" s="208">
        <f>IFERROR(VLOOKUP($I85,'Institution Evaluation'!$A$55:$F$345,4,0),IFERROR(VLOOKUP($I85,'Privacy Analyst Evaluation'!$A$46:$F$120,4,0),""))&amp;""</f>
      </c>
      <c r="M85" s="208">
        <f>IFERROR(VLOOKUP($I85,'Institution Evaluation'!$A$55:$F$345,6,0),IFERROR(VLOOKUP($I85,'Privacy Analyst Evaluation'!$A$46:$F$120,6,0),""))&amp;""</f>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68" x14ac:dyDescent="0.2">
      <c r="A86" s="208">
        <f>IFERROR(IF($A85+1&gt;'(backend scoring)'!$T$335,"",$A85+1),"")</f>
      </c>
      <c r="B86" s="208">
        <f>_xlfn.XLOOKUP($A86,'(backend scoring)'!$V$2:$V$333,'(backend scoring)'!$A$2:$A$333,"")</f>
      </c>
      <c r="C86" s="208">
        <f>IFERROR(VLOOKUP($B86,'Institution Evaluation'!$A$55:$F$345,2,0),IFERROR(VLOOKUP($B86,'Privacy Analyst Evaluation'!$A$46:$F$120,2,0),""))&amp;""</f>
      </c>
      <c r="D86" s="208">
        <f>IFERROR(VLOOKUP($B86,'Institution Evaluation'!$A$55:$F$345,3,0),IFERROR(VLOOKUP($B86,'Privacy Analyst Evaluation'!$A$46:$F$120,3,0),""))&amp;""</f>
      </c>
      <c r="E86" s="208">
        <f>IFERROR(VLOOKUP($B86,'Institution Evaluation'!$A$55:$F$345,4,0),IFERROR(VLOOKUP($B86,'Privacy Analyst Evaluation'!$A$46:$F$120,4,0),""))&amp;""</f>
      </c>
      <c r="F86" s="208">
        <f>IFERROR(VLOOKUP($B86,'Institution Evaluation'!$A$55:$F$345,6,0),IFERROR(VLOOKUP($B86,'Privacy Analyst Evaluation'!$A$46:$F$120,6,0),""))&amp;""</f>
      </c>
      <c r="G86" s="209"/>
      <c r="H86" s="208" t="str">
        <f>IFERROR(IF($H85+1&gt;'(backend scoring)'!$Q$335,"",$H85+1),"")</f>
      </c>
      <c r="I86" s="208">
        <f>_xlfn.XLOOKUP($H86,'(backend scoring)'!$S$2:$S$333,'(backend scoring)'!$A$2:$A$333,"")</f>
      </c>
      <c r="J86" s="208">
        <f>IFERROR(VLOOKUP($I86,'Institution Evaluation'!$A$55:$F$345,2,0),IFERROR(VLOOKUP($I86,'Privacy Analyst Evaluation'!$A$46:$F$120,2,0),""))</f>
      </c>
      <c r="K86" s="208">
        <f>IFERROR(VLOOKUP($I86,'Institution Evaluation'!$A$55:$F$345,3,0),IFERROR(VLOOKUP($I86,'Privacy Analyst Evaluation'!$A$46:$F$120,3,0),""))&amp;""</f>
      </c>
      <c r="L86" s="208">
        <f>IFERROR(VLOOKUP($I86,'Institution Evaluation'!$A$55:$F$345,4,0),IFERROR(VLOOKUP($I86,'Privacy Analyst Evaluation'!$A$46:$F$120,4,0),""))&amp;""</f>
      </c>
      <c r="M86" s="208">
        <f>IFERROR(VLOOKUP($I86,'Institution Evaluation'!$A$55:$F$345,6,0),IFERROR(VLOOKUP($I86,'Privacy Analyst Evaluation'!$A$46:$F$120,6,0),""))&amp;""</f>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19" x14ac:dyDescent="0.2">
      <c r="A87" s="208">
        <f>IFERROR(IF($A86+1&gt;'(backend scoring)'!$T$335,"",$A86+1),"")</f>
      </c>
      <c r="B87" s="208">
        <f>_xlfn.XLOOKUP($A87,'(backend scoring)'!$V$2:$V$333,'(backend scoring)'!$A$2:$A$333,"")</f>
      </c>
      <c r="C87" s="208">
        <f>IFERROR(VLOOKUP($B87,'Institution Evaluation'!$A$55:$F$345,2,0),IFERROR(VLOOKUP($B87,'Privacy Analyst Evaluation'!$A$46:$F$120,2,0),""))&amp;""</f>
      </c>
      <c r="D87" s="208">
        <f>IFERROR(VLOOKUP($B87,'Institution Evaluation'!$A$55:$F$345,3,0),IFERROR(VLOOKUP($B87,'Privacy Analyst Evaluation'!$A$46:$F$120,3,0),""))&amp;""</f>
      </c>
      <c r="E87" s="208">
        <f>IFERROR(VLOOKUP($B87,'Institution Evaluation'!$A$55:$F$345,4,0),IFERROR(VLOOKUP($B87,'Privacy Analyst Evaluation'!$A$46:$F$120,4,0),""))&amp;""</f>
      </c>
      <c r="F87" s="208">
        <f>IFERROR(VLOOKUP($B87,'Institution Evaluation'!$A$55:$F$345,6,0),IFERROR(VLOOKUP($B87,'Privacy Analyst Evaluation'!$A$46:$F$120,6,0),""))&amp;""</f>
      </c>
      <c r="G87" s="209"/>
      <c r="H87" s="208" t="str">
        <f>IFERROR(IF($H86+1&gt;'(backend scoring)'!$Q$335,"",$H86+1),"")</f>
      </c>
      <c r="I87" s="208">
        <f>_xlfn.XLOOKUP($H87,'(backend scoring)'!$S$2:$S$333,'(backend scoring)'!$A$2:$A$333,"")</f>
      </c>
      <c r="J87" s="208">
        <f>IFERROR(VLOOKUP($I87,'Institution Evaluation'!$A$55:$F$345,2,0),IFERROR(VLOOKUP($I87,'Privacy Analyst Evaluation'!$A$46:$F$120,2,0),""))</f>
      </c>
      <c r="K87" s="208">
        <f>IFERROR(VLOOKUP($I87,'Institution Evaluation'!$A$55:$F$345,3,0),IFERROR(VLOOKUP($I87,'Privacy Analyst Evaluation'!$A$46:$F$120,3,0),""))&amp;""</f>
      </c>
      <c r="L87" s="208">
        <f>IFERROR(VLOOKUP($I87,'Institution Evaluation'!$A$55:$F$345,4,0),IFERROR(VLOOKUP($I87,'Privacy Analyst Evaluation'!$A$46:$F$120,4,0),""))&amp;""</f>
      </c>
      <c r="M87" s="208">
        <f>IFERROR(VLOOKUP($I87,'Institution Evaluation'!$A$55:$F$345,6,0),IFERROR(VLOOKUP($I87,'Privacy Analyst Evaluation'!$A$46:$F$120,6,0),""))&amp;""</f>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409.6" x14ac:dyDescent="0.2">
      <c r="A88" s="208">
        <f>IFERROR(IF($A87+1&gt;'(backend scoring)'!$T$335,"",$A87+1),"")</f>
      </c>
      <c r="B88" s="208">
        <f>_xlfn.XLOOKUP($A88,'(backend scoring)'!$V$2:$V$333,'(backend scoring)'!$A$2:$A$333,"")</f>
      </c>
      <c r="C88" s="208">
        <f>IFERROR(VLOOKUP($B88,'Institution Evaluation'!$A$55:$F$345,2,0),IFERROR(VLOOKUP($B88,'Privacy Analyst Evaluation'!$A$46:$F$120,2,0),""))&amp;""</f>
      </c>
      <c r="D88" s="208">
        <f>IFERROR(VLOOKUP($B88,'Institution Evaluation'!$A$55:$F$345,3,0),IFERROR(VLOOKUP($B88,'Privacy Analyst Evaluation'!$A$46:$F$120,3,0),""))&amp;""</f>
      </c>
      <c r="E88" s="208">
        <f>IFERROR(VLOOKUP($B88,'Institution Evaluation'!$A$55:$F$345,4,0),IFERROR(VLOOKUP($B88,'Privacy Analyst Evaluation'!$A$46:$F$120,4,0),""))&amp;""</f>
      </c>
      <c r="F88" s="208">
        <f>IFERROR(VLOOKUP($B88,'Institution Evaluation'!$A$55:$F$345,6,0),IFERROR(VLOOKUP($B88,'Privacy Analyst Evaluation'!$A$46:$F$120,6,0),""))&amp;""</f>
      </c>
      <c r="G88" s="209"/>
      <c r="H88" s="208" t="str">
        <f>IFERROR(IF($H87+1&gt;'(backend scoring)'!$Q$335,"",$H87+1),"")</f>
      </c>
      <c r="I88" s="208">
        <f>_xlfn.XLOOKUP($H88,'(backend scoring)'!$S$2:$S$333,'(backend scoring)'!$A$2:$A$333,"")</f>
      </c>
      <c r="J88" s="208">
        <f>IFERROR(VLOOKUP($I88,'Institution Evaluation'!$A$55:$F$345,2,0),IFERROR(VLOOKUP($I88,'Privacy Analyst Evaluation'!$A$46:$F$120,2,0),""))</f>
      </c>
      <c r="K88" s="208">
        <f>IFERROR(VLOOKUP($I88,'Institution Evaluation'!$A$55:$F$345,3,0),IFERROR(VLOOKUP($I88,'Privacy Analyst Evaluation'!$A$46:$F$120,3,0),""))&amp;""</f>
      </c>
      <c r="L88" s="208">
        <f>IFERROR(VLOOKUP($I88,'Institution Evaluation'!$A$55:$F$345,4,0),IFERROR(VLOOKUP($I88,'Privacy Analyst Evaluation'!$A$46:$F$120,4,0),""))&amp;""</f>
      </c>
      <c r="M88" s="208">
        <f>IFERROR(VLOOKUP($I88,'Institution Evaluation'!$A$55:$F$345,6,0),IFERROR(VLOOKUP($I88,'Privacy Analyst Evaluation'!$A$46:$F$120,6,0),""))&amp;""</f>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4" x14ac:dyDescent="0.2">
      <c r="A89" s="208">
        <f>IFERROR(IF($A88+1&gt;'(backend scoring)'!$T$335,"",$A88+1),"")</f>
      </c>
      <c r="B89" s="208">
        <f>_xlfn.XLOOKUP($A89,'(backend scoring)'!$V$2:$V$333,'(backend scoring)'!$A$2:$A$333,"")</f>
      </c>
      <c r="C89" s="208">
        <f>IFERROR(VLOOKUP($B89,'Institution Evaluation'!$A$55:$F$345,2,0),IFERROR(VLOOKUP($B89,'Privacy Analyst Evaluation'!$A$46:$F$120,2,0),""))&amp;""</f>
      </c>
      <c r="D89" s="208">
        <f>IFERROR(VLOOKUP($B89,'Institution Evaluation'!$A$55:$F$345,3,0),IFERROR(VLOOKUP($B89,'Privacy Analyst Evaluation'!$A$46:$F$120,3,0),""))&amp;""</f>
      </c>
      <c r="E89" s="208">
        <f>IFERROR(VLOOKUP($B89,'Institution Evaluation'!$A$55:$F$345,4,0),IFERROR(VLOOKUP($B89,'Privacy Analyst Evaluation'!$A$46:$F$120,4,0),""))&amp;""</f>
      </c>
      <c r="F89" s="208">
        <f>IFERROR(VLOOKUP($B89,'Institution Evaluation'!$A$55:$F$345,6,0),IFERROR(VLOOKUP($B89,'Privacy Analyst Evaluation'!$A$46:$F$120,6,0),""))&amp;""</f>
      </c>
      <c r="G89" s="209"/>
      <c r="H89" s="208" t="str">
        <f>IFERROR(IF($H88+1&gt;'(backend scoring)'!$Q$335,"",$H88+1),"")</f>
      </c>
      <c r="I89" s="208">
        <f>_xlfn.XLOOKUP($H89,'(backend scoring)'!$S$2:$S$333,'(backend scoring)'!$A$2:$A$333,"")</f>
      </c>
      <c r="J89" s="208">
        <f>IFERROR(VLOOKUP($I89,'Institution Evaluation'!$A$55:$F$345,2,0),IFERROR(VLOOKUP($I89,'Privacy Analyst Evaluation'!$A$46:$F$120,2,0),""))</f>
      </c>
      <c r="K89" s="208">
        <f>IFERROR(VLOOKUP($I89,'Institution Evaluation'!$A$55:$F$345,3,0),IFERROR(VLOOKUP($I89,'Privacy Analyst Evaluation'!$A$46:$F$120,3,0),""))&amp;""</f>
      </c>
      <c r="L89" s="208">
        <f>IFERROR(VLOOKUP($I89,'Institution Evaluation'!$A$55:$F$345,4,0),IFERROR(VLOOKUP($I89,'Privacy Analyst Evaluation'!$A$46:$F$120,4,0),""))&amp;""</f>
      </c>
      <c r="M89" s="208">
        <f>IFERROR(VLOOKUP($I89,'Institution Evaluation'!$A$55:$F$345,6,0),IFERROR(VLOOKUP($I89,'Privacy Analyst Evaluation'!$A$46:$F$120,6,0),""))&amp;""</f>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68" x14ac:dyDescent="0.2">
      <c r="A90" s="208">
        <f>IFERROR(IF($A89+1&gt;'(backend scoring)'!$T$335,"",$A89+1),"")</f>
      </c>
      <c r="B90" s="208">
        <f>_xlfn.XLOOKUP($A90,'(backend scoring)'!$V$2:$V$333,'(backend scoring)'!$A$2:$A$333,"")</f>
      </c>
      <c r="C90" s="208">
        <f>IFERROR(VLOOKUP($B90,'Institution Evaluation'!$A$55:$F$345,2,0),IFERROR(VLOOKUP($B90,'Privacy Analyst Evaluation'!$A$46:$F$120,2,0),""))&amp;""</f>
      </c>
      <c r="D90" s="208">
        <f>IFERROR(VLOOKUP($B90,'Institution Evaluation'!$A$55:$F$345,3,0),IFERROR(VLOOKUP($B90,'Privacy Analyst Evaluation'!$A$46:$F$120,3,0),""))&amp;""</f>
      </c>
      <c r="E90" s="208">
        <f>IFERROR(VLOOKUP($B90,'Institution Evaluation'!$A$55:$F$345,4,0),IFERROR(VLOOKUP($B90,'Privacy Analyst Evaluation'!$A$46:$F$120,4,0),""))&amp;""</f>
      </c>
      <c r="F90" s="208">
        <f>IFERROR(VLOOKUP($B90,'Institution Evaluation'!$A$55:$F$345,6,0),IFERROR(VLOOKUP($B90,'Privacy Analyst Evaluation'!$A$46:$F$120,6,0),""))&amp;""</f>
      </c>
      <c r="G90" s="209"/>
      <c r="H90" s="208" t="str">
        <f>IFERROR(IF($H89+1&gt;'(backend scoring)'!$Q$335,"",$H89+1),"")</f>
      </c>
      <c r="I90" s="208">
        <f>_xlfn.XLOOKUP($H90,'(backend scoring)'!$S$2:$S$333,'(backend scoring)'!$A$2:$A$333,"")</f>
      </c>
      <c r="J90" s="208">
        <f>IFERROR(VLOOKUP($I90,'Institution Evaluation'!$A$55:$F$345,2,0),IFERROR(VLOOKUP($I90,'Privacy Analyst Evaluation'!$A$46:$F$120,2,0),""))</f>
      </c>
      <c r="K90" s="208">
        <f>IFERROR(VLOOKUP($I90,'Institution Evaluation'!$A$55:$F$345,3,0),IFERROR(VLOOKUP($I90,'Privacy Analyst Evaluation'!$A$46:$F$120,3,0),""))&amp;""</f>
      </c>
      <c r="L90" s="208">
        <f>IFERROR(VLOOKUP($I90,'Institution Evaluation'!$A$55:$F$345,4,0),IFERROR(VLOOKUP($I90,'Privacy Analyst Evaluation'!$A$46:$F$120,4,0),""))&amp;""</f>
      </c>
      <c r="M90" s="208">
        <f>IFERROR(VLOOKUP($I90,'Institution Evaluation'!$A$55:$F$345,6,0),IFERROR(VLOOKUP($I90,'Privacy Analyst Evaluation'!$A$46:$F$120,6,0),""))&amp;""</f>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85" x14ac:dyDescent="0.2">
      <c r="A91" s="208">
        <f>IFERROR(IF($A90+1&gt;'(backend scoring)'!$T$335,"",$A90+1),"")</f>
      </c>
      <c r="B91" s="208">
        <f>_xlfn.XLOOKUP($A91,'(backend scoring)'!$V$2:$V$333,'(backend scoring)'!$A$2:$A$333,"")</f>
      </c>
      <c r="C91" s="208">
        <f>IFERROR(VLOOKUP($B91,'Institution Evaluation'!$A$55:$F$345,2,0),IFERROR(VLOOKUP($B91,'Privacy Analyst Evaluation'!$A$46:$F$120,2,0),""))&amp;""</f>
      </c>
      <c r="D91" s="208">
        <f>IFERROR(VLOOKUP($B91,'Institution Evaluation'!$A$55:$F$345,3,0),IFERROR(VLOOKUP($B91,'Privacy Analyst Evaluation'!$A$46:$F$120,3,0),""))&amp;""</f>
      </c>
      <c r="E91" s="208">
        <f>IFERROR(VLOOKUP($B91,'Institution Evaluation'!$A$55:$F$345,4,0),IFERROR(VLOOKUP($B91,'Privacy Analyst Evaluation'!$A$46:$F$120,4,0),""))&amp;""</f>
      </c>
      <c r="F91" s="208">
        <f>IFERROR(VLOOKUP($B91,'Institution Evaluation'!$A$55:$F$345,6,0),IFERROR(VLOOKUP($B91,'Privacy Analyst Evaluation'!$A$46:$F$120,6,0),""))&amp;""</f>
      </c>
      <c r="G91" s="209"/>
      <c r="H91" s="208" t="str">
        <f>IFERROR(IF($H90+1&gt;'(backend scoring)'!$Q$335,"",$H90+1),"")</f>
      </c>
      <c r="I91" s="208">
        <f>_xlfn.XLOOKUP($H91,'(backend scoring)'!$S$2:$S$333,'(backend scoring)'!$A$2:$A$333,"")</f>
      </c>
      <c r="J91" s="208">
        <f>IFERROR(VLOOKUP($I91,'Institution Evaluation'!$A$55:$F$345,2,0),IFERROR(VLOOKUP($I91,'Privacy Analyst Evaluation'!$A$46:$F$120,2,0),""))</f>
      </c>
      <c r="K91" s="208">
        <f>IFERROR(VLOOKUP($I91,'Institution Evaluation'!$A$55:$F$345,3,0),IFERROR(VLOOKUP($I91,'Privacy Analyst Evaluation'!$A$46:$F$120,3,0),""))&amp;""</f>
      </c>
      <c r="L91" s="208">
        <f>IFERROR(VLOOKUP($I91,'Institution Evaluation'!$A$55:$F$345,4,0),IFERROR(VLOOKUP($I91,'Privacy Analyst Evaluation'!$A$46:$F$120,4,0),""))&amp;""</f>
      </c>
      <c r="M91" s="208">
        <f>IFERROR(VLOOKUP($I91,'Institution Evaluation'!$A$55:$F$345,6,0),IFERROR(VLOOKUP($I91,'Privacy Analyst Evaluation'!$A$46:$F$120,6,0),""))&amp;""</f>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4" x14ac:dyDescent="0.2">
      <c r="A92" s="208">
        <f>IFERROR(IF($A91+1&gt;'(backend scoring)'!$T$335,"",$A91+1),"")</f>
      </c>
      <c r="B92" s="208">
        <f>_xlfn.XLOOKUP($A92,'(backend scoring)'!$V$2:$V$333,'(backend scoring)'!$A$2:$A$333,"")</f>
      </c>
      <c r="C92" s="208">
        <f>IFERROR(VLOOKUP($B92,'Institution Evaluation'!$A$55:$F$345,2,0),IFERROR(VLOOKUP($B92,'Privacy Analyst Evaluation'!$A$46:$F$120,2,0),""))&amp;""</f>
      </c>
      <c r="D92" s="208">
        <f>IFERROR(VLOOKUP($B92,'Institution Evaluation'!$A$55:$F$345,3,0),IFERROR(VLOOKUP($B92,'Privacy Analyst Evaluation'!$A$46:$F$120,3,0),""))&amp;""</f>
      </c>
      <c r="E92" s="208">
        <f>IFERROR(VLOOKUP($B92,'Institution Evaluation'!$A$55:$F$345,4,0),IFERROR(VLOOKUP($B92,'Privacy Analyst Evaluation'!$A$46:$F$120,4,0),""))&amp;""</f>
      </c>
      <c r="F92" s="208">
        <f>IFERROR(VLOOKUP($B92,'Institution Evaluation'!$A$55:$F$345,6,0),IFERROR(VLOOKUP($B92,'Privacy Analyst Evaluation'!$A$46:$F$120,6,0),""))&amp;""</f>
      </c>
      <c r="G92" s="209"/>
      <c r="H92" s="208" t="str">
        <f>IFERROR(IF($H91+1&gt;'(backend scoring)'!$Q$335,"",$H91+1),"")</f>
      </c>
      <c r="I92" s="208">
        <f>_xlfn.XLOOKUP($H92,'(backend scoring)'!$S$2:$S$333,'(backend scoring)'!$A$2:$A$333,"")</f>
      </c>
      <c r="J92" s="208">
        <f>IFERROR(VLOOKUP($I92,'Institution Evaluation'!$A$55:$F$345,2,0),IFERROR(VLOOKUP($I92,'Privacy Analyst Evaluation'!$A$46:$F$120,2,0),""))</f>
      </c>
      <c r="K92" s="208">
        <f>IFERROR(VLOOKUP($I92,'Institution Evaluation'!$A$55:$F$345,3,0),IFERROR(VLOOKUP($I92,'Privacy Analyst Evaluation'!$A$46:$F$120,3,0),""))&amp;""</f>
      </c>
      <c r="L92" s="208">
        <f>IFERROR(VLOOKUP($I92,'Institution Evaluation'!$A$55:$F$345,4,0),IFERROR(VLOOKUP($I92,'Privacy Analyst Evaluation'!$A$46:$F$120,4,0),""))&amp;""</f>
      </c>
      <c r="M92" s="208">
        <f>IFERROR(VLOOKUP($I92,'Institution Evaluation'!$A$55:$F$345,6,0),IFERROR(VLOOKUP($I92,'Privacy Analyst Evaluation'!$A$46:$F$120,6,0),""))&amp;""</f>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51" x14ac:dyDescent="0.2">
      <c r="A93" s="208">
        <f>IFERROR(IF($A92+1&gt;'(backend scoring)'!$T$335,"",$A92+1),"")</f>
      </c>
      <c r="B93" s="208">
        <f>_xlfn.XLOOKUP($A93,'(backend scoring)'!$V$2:$V$333,'(backend scoring)'!$A$2:$A$333,"")</f>
      </c>
      <c r="C93" s="208">
        <f>IFERROR(VLOOKUP($B93,'Institution Evaluation'!$A$55:$F$345,2,0),IFERROR(VLOOKUP($B93,'Privacy Analyst Evaluation'!$A$46:$F$120,2,0),""))&amp;""</f>
      </c>
      <c r="D93" s="208">
        <f>IFERROR(VLOOKUP($B93,'Institution Evaluation'!$A$55:$F$345,3,0),IFERROR(VLOOKUP($B93,'Privacy Analyst Evaluation'!$A$46:$F$120,3,0),""))&amp;""</f>
      </c>
      <c r="E93" s="208">
        <f>IFERROR(VLOOKUP($B93,'Institution Evaluation'!$A$55:$F$345,4,0),IFERROR(VLOOKUP($B93,'Privacy Analyst Evaluation'!$A$46:$F$120,4,0),""))&amp;""</f>
      </c>
      <c r="F93" s="208">
        <f>IFERROR(VLOOKUP($B93,'Institution Evaluation'!$A$55:$F$345,6,0),IFERROR(VLOOKUP($B93,'Privacy Analyst Evaluation'!$A$46:$F$120,6,0),""))&amp;""</f>
      </c>
      <c r="G93" s="209"/>
      <c r="H93" s="208" t="str">
        <f>IFERROR(IF($H92+1&gt;'(backend scoring)'!$Q$335,"",$H92+1),"")</f>
      </c>
      <c r="I93" s="208">
        <f>_xlfn.XLOOKUP($H93,'(backend scoring)'!$S$2:$S$333,'(backend scoring)'!$A$2:$A$333,"")</f>
      </c>
      <c r="J93" s="208">
        <f>IFERROR(VLOOKUP($I93,'Institution Evaluation'!$A$55:$F$345,2,0),IFERROR(VLOOKUP($I93,'Privacy Analyst Evaluation'!$A$46:$F$120,2,0),""))</f>
      </c>
      <c r="K93" s="208">
        <f>IFERROR(VLOOKUP($I93,'Institution Evaluation'!$A$55:$F$345,3,0),IFERROR(VLOOKUP($I93,'Privacy Analyst Evaluation'!$A$46:$F$120,3,0),""))&amp;""</f>
      </c>
      <c r="L93" s="208">
        <f>IFERROR(VLOOKUP($I93,'Institution Evaluation'!$A$55:$F$345,4,0),IFERROR(VLOOKUP($I93,'Privacy Analyst Evaluation'!$A$46:$F$120,4,0),""))&amp;""</f>
      </c>
      <c r="M93" s="208">
        <f>IFERROR(VLOOKUP($I93,'Institution Evaluation'!$A$55:$F$345,6,0),IFERROR(VLOOKUP($I93,'Privacy Analyst Evaluation'!$A$46:$F$120,6,0),""))&amp;""</f>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119" x14ac:dyDescent="0.2">
      <c r="A94" s="208">
        <f>IFERROR(IF($A93+1&gt;'(backend scoring)'!$T$335,"",$A93+1),"")</f>
      </c>
      <c r="B94" s="208">
        <f>_xlfn.XLOOKUP($A94,'(backend scoring)'!$V$2:$V$333,'(backend scoring)'!$A$2:$A$333,"")</f>
      </c>
      <c r="C94" s="208">
        <f>IFERROR(VLOOKUP($B94,'Institution Evaluation'!$A$55:$F$345,2,0),IFERROR(VLOOKUP($B94,'Privacy Analyst Evaluation'!$A$46:$F$120,2,0),""))&amp;""</f>
      </c>
      <c r="D94" s="208">
        <f>IFERROR(VLOOKUP($B94,'Institution Evaluation'!$A$55:$F$345,3,0),IFERROR(VLOOKUP($B94,'Privacy Analyst Evaluation'!$A$46:$F$120,3,0),""))&amp;""</f>
      </c>
      <c r="E94" s="208">
        <f>IFERROR(VLOOKUP($B94,'Institution Evaluation'!$A$55:$F$345,4,0),IFERROR(VLOOKUP($B94,'Privacy Analyst Evaluation'!$A$46:$F$120,4,0),""))&amp;""</f>
      </c>
      <c r="F94" s="208">
        <f>IFERROR(VLOOKUP($B94,'Institution Evaluation'!$A$55:$F$345,6,0),IFERROR(VLOOKUP($B94,'Privacy Analyst Evaluation'!$A$46:$F$120,6,0),""))&amp;""</f>
      </c>
      <c r="G94" s="209"/>
      <c r="H94" s="208" t="str">
        <f>IFERROR(IF($H93+1&gt;'(backend scoring)'!$Q$335,"",$H93+1),"")</f>
      </c>
      <c r="I94" s="208">
        <f>_xlfn.XLOOKUP($H94,'(backend scoring)'!$S$2:$S$333,'(backend scoring)'!$A$2:$A$333,"")</f>
      </c>
      <c r="J94" s="208">
        <f>IFERROR(VLOOKUP($I94,'Institution Evaluation'!$A$55:$F$345,2,0),IFERROR(VLOOKUP($I94,'Privacy Analyst Evaluation'!$A$46:$F$120,2,0),""))</f>
      </c>
      <c r="K94" s="208">
        <f>IFERROR(VLOOKUP($I94,'Institution Evaluation'!$A$55:$F$345,3,0),IFERROR(VLOOKUP($I94,'Privacy Analyst Evaluation'!$A$46:$F$120,3,0),""))&amp;""</f>
      </c>
      <c r="L94" s="208">
        <f>IFERROR(VLOOKUP($I94,'Institution Evaluation'!$A$55:$F$345,4,0),IFERROR(VLOOKUP($I94,'Privacy Analyst Evaluation'!$A$46:$F$120,4,0),""))&amp;""</f>
      </c>
      <c r="M94" s="208">
        <f>IFERROR(VLOOKUP($I94,'Institution Evaluation'!$A$55:$F$345,6,0),IFERROR(VLOOKUP($I94,'Privacy Analyst Evaluation'!$A$46:$F$120,6,0),""))&amp;""</f>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85" x14ac:dyDescent="0.2">
      <c r="A95" s="208">
        <f>IFERROR(IF($A94+1&gt;'(backend scoring)'!$T$335,"",$A94+1),"")</f>
      </c>
      <c r="B95" s="208">
        <f>_xlfn.XLOOKUP($A95,'(backend scoring)'!$V$2:$V$333,'(backend scoring)'!$A$2:$A$333,"")</f>
      </c>
      <c r="C95" s="208">
        <f>IFERROR(VLOOKUP($B95,'Institution Evaluation'!$A$55:$F$345,2,0),IFERROR(VLOOKUP($B95,'Privacy Analyst Evaluation'!$A$46:$F$120,2,0),""))&amp;""</f>
      </c>
      <c r="D95" s="208">
        <f>IFERROR(VLOOKUP($B95,'Institution Evaluation'!$A$55:$F$345,3,0),IFERROR(VLOOKUP($B95,'Privacy Analyst Evaluation'!$A$46:$F$120,3,0),""))&amp;""</f>
      </c>
      <c r="E95" s="208">
        <f>IFERROR(VLOOKUP($B95,'Institution Evaluation'!$A$55:$F$345,4,0),IFERROR(VLOOKUP($B95,'Privacy Analyst Evaluation'!$A$46:$F$120,4,0),""))&amp;""</f>
      </c>
      <c r="F95" s="208">
        <f>IFERROR(VLOOKUP($B95,'Institution Evaluation'!$A$55:$F$345,6,0),IFERROR(VLOOKUP($B95,'Privacy Analyst Evaluation'!$A$46:$F$120,6,0),""))&amp;""</f>
      </c>
      <c r="G95" s="209"/>
      <c r="H95" s="208" t="str">
        <f>IFERROR(IF($H94+1&gt;'(backend scoring)'!$Q$335,"",$H94+1),"")</f>
      </c>
      <c r="I95" s="208">
        <f>_xlfn.XLOOKUP($H95,'(backend scoring)'!$S$2:$S$333,'(backend scoring)'!$A$2:$A$333,"")</f>
      </c>
      <c r="J95" s="208">
        <f>IFERROR(VLOOKUP($I95,'Institution Evaluation'!$A$55:$F$345,2,0),IFERROR(VLOOKUP($I95,'Privacy Analyst Evaluation'!$A$46:$F$120,2,0),""))</f>
      </c>
      <c r="K95" s="208">
        <f>IFERROR(VLOOKUP($I95,'Institution Evaluation'!$A$55:$F$345,3,0),IFERROR(VLOOKUP($I95,'Privacy Analyst Evaluation'!$A$46:$F$120,3,0),""))&amp;""</f>
      </c>
      <c r="L95" s="208">
        <f>IFERROR(VLOOKUP($I95,'Institution Evaluation'!$A$55:$F$345,4,0),IFERROR(VLOOKUP($I95,'Privacy Analyst Evaluation'!$A$46:$F$120,4,0),""))&amp;""</f>
      </c>
      <c r="M95" s="208">
        <f>IFERROR(VLOOKUP($I95,'Institution Evaluation'!$A$55:$F$345,6,0),IFERROR(VLOOKUP($I95,'Privacy Analyst Evaluation'!$A$46:$F$120,6,0),""))&amp;""</f>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8" x14ac:dyDescent="0.2">
      <c r="A96" s="208">
        <f>IFERROR(IF($A95+1&gt;'(backend scoring)'!$T$335,"",$A95+1),"")</f>
      </c>
      <c r="B96" s="208">
        <f>_xlfn.XLOOKUP($A96,'(backend scoring)'!$V$2:$V$333,'(backend scoring)'!$A$2:$A$333,"")</f>
      </c>
      <c r="C96" s="208">
        <f>IFERROR(VLOOKUP($B96,'Institution Evaluation'!$A$55:$F$345,2,0),IFERROR(VLOOKUP($B96,'Privacy Analyst Evaluation'!$A$46:$F$120,2,0),""))&amp;""</f>
      </c>
      <c r="D96" s="208">
        <f>IFERROR(VLOOKUP($B96,'Institution Evaluation'!$A$55:$F$345,3,0),IFERROR(VLOOKUP($B96,'Privacy Analyst Evaluation'!$A$46:$F$120,3,0),""))&amp;""</f>
      </c>
      <c r="E96" s="208">
        <f>IFERROR(VLOOKUP($B96,'Institution Evaluation'!$A$55:$F$345,4,0),IFERROR(VLOOKUP($B96,'Privacy Analyst Evaluation'!$A$46:$F$120,4,0),""))&amp;""</f>
      </c>
      <c r="F96" s="208">
        <f>IFERROR(VLOOKUP($B96,'Institution Evaluation'!$A$55:$F$345,6,0),IFERROR(VLOOKUP($B96,'Privacy Analyst Evaluation'!$A$46:$F$120,6,0),""))&amp;""</f>
      </c>
      <c r="G96" s="209"/>
      <c r="H96" s="208" t="str">
        <f>IFERROR(IF($H95+1&gt;'(backend scoring)'!$Q$335,"",$H95+1),"")</f>
      </c>
      <c r="I96" s="208">
        <f>_xlfn.XLOOKUP($H96,'(backend scoring)'!$S$2:$S$333,'(backend scoring)'!$A$2:$A$333,"")</f>
      </c>
      <c r="J96" s="208">
        <f>IFERROR(VLOOKUP($I96,'Institution Evaluation'!$A$55:$F$345,2,0),IFERROR(VLOOKUP($I96,'Privacy Analyst Evaluation'!$A$46:$F$120,2,0),""))</f>
      </c>
      <c r="K96" s="208">
        <f>IFERROR(VLOOKUP($I96,'Institution Evaluation'!$A$55:$F$345,3,0),IFERROR(VLOOKUP($I96,'Privacy Analyst Evaluation'!$A$46:$F$120,3,0),""))&amp;""</f>
      </c>
      <c r="L96" s="208">
        <f>IFERROR(VLOOKUP($I96,'Institution Evaluation'!$A$55:$F$345,4,0),IFERROR(VLOOKUP($I96,'Privacy Analyst Evaluation'!$A$46:$F$120,4,0),""))&amp;""</f>
      </c>
      <c r="M96" s="208">
        <f>IFERROR(VLOOKUP($I96,'Institution Evaluation'!$A$55:$F$345,6,0),IFERROR(VLOOKUP($I96,'Privacy Analyst Evaluation'!$A$46:$F$120,6,0),""))&amp;""</f>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51" x14ac:dyDescent="0.2">
      <c r="A97" s="208">
        <f>IFERROR(IF($A96+1&gt;'(backend scoring)'!$T$335,"",$A96+1),"")</f>
      </c>
      <c r="B97" s="208">
        <f>_xlfn.XLOOKUP($A97,'(backend scoring)'!$V$2:$V$333,'(backend scoring)'!$A$2:$A$333,"")</f>
      </c>
      <c r="C97" s="208">
        <f>IFERROR(VLOOKUP($B97,'Institution Evaluation'!$A$55:$F$345,2,0),IFERROR(VLOOKUP($B97,'Privacy Analyst Evaluation'!$A$46:$F$120,2,0),""))&amp;""</f>
      </c>
      <c r="D97" s="208">
        <f>IFERROR(VLOOKUP($B97,'Institution Evaluation'!$A$55:$F$345,3,0),IFERROR(VLOOKUP($B97,'Privacy Analyst Evaluation'!$A$46:$F$120,3,0),""))&amp;""</f>
      </c>
      <c r="E97" s="208">
        <f>IFERROR(VLOOKUP($B97,'Institution Evaluation'!$A$55:$F$345,4,0),IFERROR(VLOOKUP($B97,'Privacy Analyst Evaluation'!$A$46:$F$120,4,0),""))&amp;""</f>
      </c>
      <c r="F97" s="208">
        <f>IFERROR(VLOOKUP($B97,'Institution Evaluation'!$A$55:$F$345,6,0),IFERROR(VLOOKUP($B97,'Privacy Analyst Evaluation'!$A$46:$F$120,6,0),""))&amp;""</f>
      </c>
      <c r="G97" s="209"/>
      <c r="H97" s="208" t="str">
        <f>IFERROR(IF($H96+1&gt;'(backend scoring)'!$Q$335,"",$H96+1),"")</f>
      </c>
      <c r="I97" s="208">
        <f>_xlfn.XLOOKUP($H97,'(backend scoring)'!$S$2:$S$333,'(backend scoring)'!$A$2:$A$333,"")</f>
      </c>
      <c r="J97" s="208">
        <f>IFERROR(VLOOKUP($I97,'Institution Evaluation'!$A$55:$F$345,2,0),IFERROR(VLOOKUP($I97,'Privacy Analyst Evaluation'!$A$46:$F$120,2,0),""))</f>
      </c>
      <c r="K97" s="208">
        <f>IFERROR(VLOOKUP($I97,'Institution Evaluation'!$A$55:$F$345,3,0),IFERROR(VLOOKUP($I97,'Privacy Analyst Evaluation'!$A$46:$F$120,3,0),""))&amp;""</f>
      </c>
      <c r="L97" s="208">
        <f>IFERROR(VLOOKUP($I97,'Institution Evaluation'!$A$55:$F$345,4,0),IFERROR(VLOOKUP($I97,'Privacy Analyst Evaluation'!$A$46:$F$120,4,0),""))&amp;""</f>
      </c>
      <c r="M97" s="208">
        <f>IFERROR(VLOOKUP($I97,'Institution Evaluation'!$A$55:$F$345,6,0),IFERROR(VLOOKUP($I97,'Privacy Analyst Evaluation'!$A$46:$F$120,6,0),""))&amp;""</f>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4" x14ac:dyDescent="0.2">
      <c r="A98" s="208">
        <f>IFERROR(IF($A97+1&gt;'(backend scoring)'!$T$335,"",$A97+1),"")</f>
      </c>
      <c r="B98" s="208">
        <f>_xlfn.XLOOKUP($A98,'(backend scoring)'!$V$2:$V$333,'(backend scoring)'!$A$2:$A$333,"")</f>
      </c>
      <c r="C98" s="208">
        <f>IFERROR(VLOOKUP($B98,'Institution Evaluation'!$A$55:$F$345,2,0),IFERROR(VLOOKUP($B98,'Privacy Analyst Evaluation'!$A$46:$F$120,2,0),""))&amp;""</f>
      </c>
      <c r="D98" s="208">
        <f>IFERROR(VLOOKUP($B98,'Institution Evaluation'!$A$55:$F$345,3,0),IFERROR(VLOOKUP($B98,'Privacy Analyst Evaluation'!$A$46:$F$120,3,0),""))&amp;""</f>
      </c>
      <c r="E98" s="208">
        <f>IFERROR(VLOOKUP($B98,'Institution Evaluation'!$A$55:$F$345,4,0),IFERROR(VLOOKUP($B98,'Privacy Analyst Evaluation'!$A$46:$F$120,4,0),""))&amp;""</f>
      </c>
      <c r="F98" s="208">
        <f>IFERROR(VLOOKUP($B98,'Institution Evaluation'!$A$55:$F$345,6,0),IFERROR(VLOOKUP($B98,'Privacy Analyst Evaluation'!$A$46:$F$120,6,0),""))&amp;""</f>
      </c>
      <c r="G98" s="209"/>
      <c r="H98" s="208" t="str">
        <f>IFERROR(IF($H97+1&gt;'(backend scoring)'!$Q$335,"",$H97+1),"")</f>
      </c>
      <c r="I98" s="208">
        <f>_xlfn.XLOOKUP($H98,'(backend scoring)'!$S$2:$S$333,'(backend scoring)'!$A$2:$A$333,"")</f>
      </c>
      <c r="J98" s="208">
        <f>IFERROR(VLOOKUP($I98,'Institution Evaluation'!$A$55:$F$345,2,0),IFERROR(VLOOKUP($I98,'Privacy Analyst Evaluation'!$A$46:$F$120,2,0),""))</f>
      </c>
      <c r="K98" s="208">
        <f>IFERROR(VLOOKUP($I98,'Institution Evaluation'!$A$55:$F$345,3,0),IFERROR(VLOOKUP($I98,'Privacy Analyst Evaluation'!$A$46:$F$120,3,0),""))&amp;""</f>
      </c>
      <c r="L98" s="208">
        <f>IFERROR(VLOOKUP($I98,'Institution Evaluation'!$A$55:$F$345,4,0),IFERROR(VLOOKUP($I98,'Privacy Analyst Evaluation'!$A$46:$F$120,4,0),""))&amp;""</f>
      </c>
      <c r="M98" s="208">
        <f>IFERROR(VLOOKUP($I98,'Institution Evaluation'!$A$55:$F$345,6,0),IFERROR(VLOOKUP($I98,'Privacy Analyst Evaluation'!$A$46:$F$120,6,0),""))&amp;""</f>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36" x14ac:dyDescent="0.2">
      <c r="A99" s="208">
        <f>IFERROR(IF($A98+1&gt;'(backend scoring)'!$T$335,"",$A98+1),"")</f>
      </c>
      <c r="B99" s="208">
        <f>_xlfn.XLOOKUP($A99,'(backend scoring)'!$V$2:$V$333,'(backend scoring)'!$A$2:$A$333,"")</f>
      </c>
      <c r="C99" s="208">
        <f>IFERROR(VLOOKUP($B99,'Institution Evaluation'!$A$55:$F$345,2,0),IFERROR(VLOOKUP($B99,'Privacy Analyst Evaluation'!$A$46:$F$120,2,0),""))&amp;""</f>
      </c>
      <c r="D99" s="208">
        <f>IFERROR(VLOOKUP($B99,'Institution Evaluation'!$A$55:$F$345,3,0),IFERROR(VLOOKUP($B99,'Privacy Analyst Evaluation'!$A$46:$F$120,3,0),""))&amp;""</f>
      </c>
      <c r="E99" s="208">
        <f>IFERROR(VLOOKUP($B99,'Institution Evaluation'!$A$55:$F$345,4,0),IFERROR(VLOOKUP($B99,'Privacy Analyst Evaluation'!$A$46:$F$120,4,0),""))&amp;""</f>
      </c>
      <c r="F99" s="208">
        <f>IFERROR(VLOOKUP($B99,'Institution Evaluation'!$A$55:$F$345,6,0),IFERROR(VLOOKUP($B99,'Privacy Analyst Evaluation'!$A$46:$F$120,6,0),""))&amp;""</f>
      </c>
      <c r="G99" s="209"/>
      <c r="H99" s="208" t="str">
        <f>IFERROR(IF($H98+1&gt;'(backend scoring)'!$Q$335,"",$H98+1),"")</f>
      </c>
      <c r="I99" s="208">
        <f>_xlfn.XLOOKUP($H99,'(backend scoring)'!$S$2:$S$333,'(backend scoring)'!$A$2:$A$333,"")</f>
      </c>
      <c r="J99" s="208">
        <f>IFERROR(VLOOKUP($I99,'Institution Evaluation'!$A$55:$F$345,2,0),IFERROR(VLOOKUP($I99,'Privacy Analyst Evaluation'!$A$46:$F$120,2,0),""))</f>
      </c>
      <c r="K99" s="208">
        <f>IFERROR(VLOOKUP($I99,'Institution Evaluation'!$A$55:$F$345,3,0),IFERROR(VLOOKUP($I99,'Privacy Analyst Evaluation'!$A$46:$F$120,3,0),""))&amp;""</f>
      </c>
      <c r="L99" s="208">
        <f>IFERROR(VLOOKUP($I99,'Institution Evaluation'!$A$55:$F$345,4,0),IFERROR(VLOOKUP($I99,'Privacy Analyst Evaluation'!$A$46:$F$120,4,0),""))&amp;""</f>
      </c>
      <c r="M99" s="208">
        <f>IFERROR(VLOOKUP($I99,'Institution Evaluation'!$A$55:$F$345,6,0),IFERROR(VLOOKUP($I99,'Privacy Analyst Evaluation'!$A$46:$F$120,6,0),""))&amp;""</f>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4" x14ac:dyDescent="0.2">
      <c r="A100" s="208">
        <f>IFERROR(IF($A99+1&gt;'(backend scoring)'!$T$335,"",$A99+1),"")</f>
      </c>
      <c r="B100" s="208">
        <f>_xlfn.XLOOKUP($A100,'(backend scoring)'!$V$2:$V$333,'(backend scoring)'!$A$2:$A$333,"")</f>
      </c>
      <c r="C100" s="208">
        <f>IFERROR(VLOOKUP($B100,'Institution Evaluation'!$A$55:$F$345,2,0),IFERROR(VLOOKUP($B100,'Privacy Analyst Evaluation'!$A$46:$F$120,2,0),""))&amp;""</f>
      </c>
      <c r="D100" s="208">
        <f>IFERROR(VLOOKUP($B100,'Institution Evaluation'!$A$55:$F$345,3,0),IFERROR(VLOOKUP($B100,'Privacy Analyst Evaluation'!$A$46:$F$120,3,0),""))&amp;""</f>
      </c>
      <c r="E100" s="208">
        <f>IFERROR(VLOOKUP($B100,'Institution Evaluation'!$A$55:$F$345,4,0),IFERROR(VLOOKUP($B100,'Privacy Analyst Evaluation'!$A$46:$F$120,4,0),""))&amp;""</f>
      </c>
      <c r="F100" s="208">
        <f>IFERROR(VLOOKUP($B100,'Institution Evaluation'!$A$55:$F$345,6,0),IFERROR(VLOOKUP($B100,'Privacy Analyst Evaluation'!$A$46:$F$120,6,0),""))&amp;""</f>
      </c>
      <c r="G100" s="209"/>
      <c r="H100" s="208" t="str">
        <f>IFERROR(IF($H99+1&gt;'(backend scoring)'!$Q$335,"",$H99+1),"")</f>
      </c>
      <c r="I100" s="208">
        <f>_xlfn.XLOOKUP($H100,'(backend scoring)'!$S$2:$S$333,'(backend scoring)'!$A$2:$A$333,"")</f>
      </c>
      <c r="J100" s="208">
        <f>IFERROR(VLOOKUP($I100,'Institution Evaluation'!$A$55:$F$345,2,0),IFERROR(VLOOKUP($I100,'Privacy Analyst Evaluation'!$A$46:$F$120,2,0),""))</f>
      </c>
      <c r="K100" s="208">
        <f>IFERROR(VLOOKUP($I100,'Institution Evaluation'!$A$55:$F$345,3,0),IFERROR(VLOOKUP($I100,'Privacy Analyst Evaluation'!$A$46:$F$120,3,0),""))&amp;""</f>
      </c>
      <c r="L100" s="208">
        <f>IFERROR(VLOOKUP($I100,'Institution Evaluation'!$A$55:$F$345,4,0),IFERROR(VLOOKUP($I100,'Privacy Analyst Evaluation'!$A$46:$F$120,4,0),""))&amp;""</f>
      </c>
      <c r="M100" s="208">
        <f>IFERROR(VLOOKUP($I100,'Institution Evaluation'!$A$55:$F$345,6,0),IFERROR(VLOOKUP($I100,'Privacy Analyst Evaluation'!$A$46:$F$120,6,0),""))&amp;""</f>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85" x14ac:dyDescent="0.2">
      <c r="A101" s="208">
        <f>IFERROR(IF($A100+1&gt;'(backend scoring)'!$T$335,"",$A100+1),"")</f>
      </c>
      <c r="B101" s="208">
        <f>_xlfn.XLOOKUP($A101,'(backend scoring)'!$V$2:$V$333,'(backend scoring)'!$A$2:$A$333,"")</f>
      </c>
      <c r="C101" s="208">
        <f>IFERROR(VLOOKUP($B101,'Institution Evaluation'!$A$55:$F$345,2,0),IFERROR(VLOOKUP($B101,'Privacy Analyst Evaluation'!$A$46:$F$120,2,0),""))&amp;""</f>
      </c>
      <c r="D101" s="208">
        <f>IFERROR(VLOOKUP($B101,'Institution Evaluation'!$A$55:$F$345,3,0),IFERROR(VLOOKUP($B101,'Privacy Analyst Evaluation'!$A$46:$F$120,3,0),""))&amp;""</f>
      </c>
      <c r="E101" s="208">
        <f>IFERROR(VLOOKUP($B101,'Institution Evaluation'!$A$55:$F$345,4,0),IFERROR(VLOOKUP($B101,'Privacy Analyst Evaluation'!$A$46:$F$120,4,0),""))&amp;""</f>
      </c>
      <c r="F101" s="208">
        <f>IFERROR(VLOOKUP($B101,'Institution Evaluation'!$A$55:$F$345,6,0),IFERROR(VLOOKUP($B101,'Privacy Analyst Evaluation'!$A$46:$F$120,6,0),""))&amp;""</f>
      </c>
      <c r="G101" s="209"/>
      <c r="H101" s="208" t="str">
        <f>IFERROR(IF($H100+1&gt;'(backend scoring)'!$Q$335,"",$H100+1),"")</f>
      </c>
      <c r="I101" s="208">
        <f>_xlfn.XLOOKUP($H101,'(backend scoring)'!$S$2:$S$333,'(backend scoring)'!$A$2:$A$333,"")</f>
      </c>
      <c r="J101" s="208">
        <f>IFERROR(VLOOKUP($I101,'Institution Evaluation'!$A$55:$F$345,2,0),IFERROR(VLOOKUP($I101,'Privacy Analyst Evaluation'!$A$46:$F$120,2,0),""))</f>
      </c>
      <c r="K101" s="208">
        <f>IFERROR(VLOOKUP($I101,'Institution Evaluation'!$A$55:$F$345,3,0),IFERROR(VLOOKUP($I101,'Privacy Analyst Evaluation'!$A$46:$F$120,3,0),""))&amp;""</f>
      </c>
      <c r="L101" s="208">
        <f>IFERROR(VLOOKUP($I101,'Institution Evaluation'!$A$55:$F$345,4,0),IFERROR(VLOOKUP($I101,'Privacy Analyst Evaluation'!$A$46:$F$120,4,0),""))&amp;""</f>
      </c>
      <c r="M101" s="208">
        <f>IFERROR(VLOOKUP($I101,'Institution Evaluation'!$A$55:$F$345,6,0),IFERROR(VLOOKUP($I101,'Privacy Analyst Evaluation'!$A$46:$F$120,6,0),""))&amp;""</f>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51" x14ac:dyDescent="0.2">
      <c r="A102" s="208">
        <f>IFERROR(IF($A101+1&gt;'(backend scoring)'!$T$335,"",$A101+1),"")</f>
      </c>
      <c r="B102" s="208">
        <f>_xlfn.XLOOKUP($A102,'(backend scoring)'!$V$2:$V$333,'(backend scoring)'!$A$2:$A$333,"")</f>
      </c>
      <c r="C102" s="208">
        <f>IFERROR(VLOOKUP($B102,'Institution Evaluation'!$A$55:$F$345,2,0),IFERROR(VLOOKUP($B102,'Privacy Analyst Evaluation'!$A$46:$F$120,2,0),""))&amp;""</f>
      </c>
      <c r="D102" s="208">
        <f>IFERROR(VLOOKUP($B102,'Institution Evaluation'!$A$55:$F$345,3,0),IFERROR(VLOOKUP($B102,'Privacy Analyst Evaluation'!$A$46:$F$120,3,0),""))&amp;""</f>
      </c>
      <c r="E102" s="208">
        <f>IFERROR(VLOOKUP($B102,'Institution Evaluation'!$A$55:$F$345,4,0),IFERROR(VLOOKUP($B102,'Privacy Analyst Evaluation'!$A$46:$F$120,4,0),""))&amp;""</f>
      </c>
      <c r="F102" s="208">
        <f>IFERROR(VLOOKUP($B102,'Institution Evaluation'!$A$55:$F$345,6,0),IFERROR(VLOOKUP($B102,'Privacy Analyst Evaluation'!$A$46:$F$120,6,0),""))&amp;""</f>
      </c>
      <c r="G102" s="209"/>
      <c r="H102" s="208" t="str">
        <f>IFERROR(IF($H101+1&gt;'(backend scoring)'!$Q$335,"",$H101+1),"")</f>
      </c>
      <c r="I102" s="208">
        <f>_xlfn.XLOOKUP($H102,'(backend scoring)'!$S$2:$S$333,'(backend scoring)'!$A$2:$A$333,"")</f>
      </c>
      <c r="J102" s="208">
        <f>IFERROR(VLOOKUP($I102,'Institution Evaluation'!$A$55:$F$345,2,0),IFERROR(VLOOKUP($I102,'Privacy Analyst Evaluation'!$A$46:$F$120,2,0),""))</f>
      </c>
      <c r="K102" s="208">
        <f>IFERROR(VLOOKUP($I102,'Institution Evaluation'!$A$55:$F$345,3,0),IFERROR(VLOOKUP($I102,'Privacy Analyst Evaluation'!$A$46:$F$120,3,0),""))&amp;""</f>
      </c>
      <c r="L102" s="208">
        <f>IFERROR(VLOOKUP($I102,'Institution Evaluation'!$A$55:$F$345,4,0),IFERROR(VLOOKUP($I102,'Privacy Analyst Evaluation'!$A$46:$F$120,4,0),""))&amp;""</f>
      </c>
      <c r="M102" s="208">
        <f>IFERROR(VLOOKUP($I102,'Institution Evaluation'!$A$55:$F$345,6,0),IFERROR(VLOOKUP($I102,'Privacy Analyst Evaluation'!$A$46:$F$120,6,0),""))&amp;""</f>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136" x14ac:dyDescent="0.2">
      <c r="A103" s="208">
        <f>IFERROR(IF($A102+1&gt;'(backend scoring)'!$T$335,"",$A102+1),"")</f>
      </c>
      <c r="B103" s="208">
        <f>_xlfn.XLOOKUP($A103,'(backend scoring)'!$V$2:$V$333,'(backend scoring)'!$A$2:$A$333,"")</f>
      </c>
      <c r="C103" s="208">
        <f>IFERROR(VLOOKUP($B103,'Institution Evaluation'!$A$55:$F$345,2,0),IFERROR(VLOOKUP($B103,'Privacy Analyst Evaluation'!$A$46:$F$120,2,0),""))&amp;""</f>
      </c>
      <c r="D103" s="208">
        <f>IFERROR(VLOOKUP($B103,'Institution Evaluation'!$A$55:$F$345,3,0),IFERROR(VLOOKUP($B103,'Privacy Analyst Evaluation'!$A$46:$F$120,3,0),""))&amp;""</f>
      </c>
      <c r="E103" s="208">
        <f>IFERROR(VLOOKUP($B103,'Institution Evaluation'!$A$55:$F$345,4,0),IFERROR(VLOOKUP($B103,'Privacy Analyst Evaluation'!$A$46:$F$120,4,0),""))&amp;""</f>
      </c>
      <c r="F103" s="208">
        <f>IFERROR(VLOOKUP($B103,'Institution Evaluation'!$A$55:$F$345,6,0),IFERROR(VLOOKUP($B103,'Privacy Analyst Evaluation'!$A$46:$F$120,6,0),""))&amp;""</f>
      </c>
      <c r="G103" s="209"/>
      <c r="H103" s="208" t="str">
        <f>IFERROR(IF($H102+1&gt;'(backend scoring)'!$Q$335,"",$H102+1),"")</f>
      </c>
      <c r="I103" s="208">
        <f>_xlfn.XLOOKUP($H103,'(backend scoring)'!$S$2:$S$333,'(backend scoring)'!$A$2:$A$333,"")</f>
      </c>
      <c r="J103" s="208">
        <f>IFERROR(VLOOKUP($I103,'Institution Evaluation'!$A$55:$F$345,2,0),IFERROR(VLOOKUP($I103,'Privacy Analyst Evaluation'!$A$46:$F$120,2,0),""))</f>
      </c>
      <c r="K103" s="208">
        <f>IFERROR(VLOOKUP($I103,'Institution Evaluation'!$A$55:$F$345,3,0),IFERROR(VLOOKUP($I103,'Privacy Analyst Evaluation'!$A$46:$F$120,3,0),""))&amp;""</f>
      </c>
      <c r="L103" s="208">
        <f>IFERROR(VLOOKUP($I103,'Institution Evaluation'!$A$55:$F$345,4,0),IFERROR(VLOOKUP($I103,'Privacy Analyst Evaluation'!$A$46:$F$120,4,0),""))&amp;""</f>
      </c>
      <c r="M103" s="208">
        <f>IFERROR(VLOOKUP($I103,'Institution Evaluation'!$A$55:$F$345,6,0),IFERROR(VLOOKUP($I103,'Privacy Analyst Evaluation'!$A$46:$F$120,6,0),""))&amp;""</f>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51" x14ac:dyDescent="0.2">
      <c r="A104" s="208">
        <f>IFERROR(IF($A103+1&gt;'(backend scoring)'!$T$335,"",$A103+1),"")</f>
      </c>
      <c r="B104" s="208">
        <f>_xlfn.XLOOKUP($A104,'(backend scoring)'!$V$2:$V$333,'(backend scoring)'!$A$2:$A$333,"")</f>
      </c>
      <c r="C104" s="208">
        <f>IFERROR(VLOOKUP($B104,'Institution Evaluation'!$A$55:$F$345,2,0),IFERROR(VLOOKUP($B104,'Privacy Analyst Evaluation'!$A$46:$F$120,2,0),""))&amp;""</f>
      </c>
      <c r="D104" s="208">
        <f>IFERROR(VLOOKUP($B104,'Institution Evaluation'!$A$55:$F$345,3,0),IFERROR(VLOOKUP($B104,'Privacy Analyst Evaluation'!$A$46:$F$120,3,0),""))&amp;""</f>
      </c>
      <c r="E104" s="208">
        <f>IFERROR(VLOOKUP($B104,'Institution Evaluation'!$A$55:$F$345,4,0),IFERROR(VLOOKUP($B104,'Privacy Analyst Evaluation'!$A$46:$F$120,4,0),""))&amp;""</f>
      </c>
      <c r="F104" s="208">
        <f>IFERROR(VLOOKUP($B104,'Institution Evaluation'!$A$55:$F$345,6,0),IFERROR(VLOOKUP($B104,'Privacy Analyst Evaluation'!$A$46:$F$120,6,0),""))&amp;""</f>
      </c>
      <c r="G104" s="209"/>
      <c r="H104" s="208" t="str">
        <f>IFERROR(IF($H103+1&gt;'(backend scoring)'!$Q$335,"",$H103+1),"")</f>
      </c>
      <c r="I104" s="208">
        <f>_xlfn.XLOOKUP($H104,'(backend scoring)'!$S$2:$S$333,'(backend scoring)'!$A$2:$A$333,"")</f>
      </c>
      <c r="J104" s="208">
        <f>IFERROR(VLOOKUP($I104,'Institution Evaluation'!$A$55:$F$345,2,0),IFERROR(VLOOKUP($I104,'Privacy Analyst Evaluation'!$A$46:$F$120,2,0),""))</f>
      </c>
      <c r="K104" s="208">
        <f>IFERROR(VLOOKUP($I104,'Institution Evaluation'!$A$55:$F$345,3,0),IFERROR(VLOOKUP($I104,'Privacy Analyst Evaluation'!$A$46:$F$120,3,0),""))&amp;""</f>
      </c>
      <c r="L104" s="208">
        <f>IFERROR(VLOOKUP($I104,'Institution Evaluation'!$A$55:$F$345,4,0),IFERROR(VLOOKUP($I104,'Privacy Analyst Evaluation'!$A$46:$F$120,4,0),""))&amp;""</f>
      </c>
      <c r="M104" s="208">
        <f>IFERROR(VLOOKUP($I104,'Institution Evaluation'!$A$55:$F$345,6,0),IFERROR(VLOOKUP($I104,'Privacy Analyst Evaluation'!$A$46:$F$120,6,0),""))&amp;""</f>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102" x14ac:dyDescent="0.2">
      <c r="A105" s="208">
        <f>IFERROR(IF($A104+1&gt;'(backend scoring)'!$T$335,"",$A104+1),"")</f>
      </c>
      <c r="B105" s="208">
        <f>_xlfn.XLOOKUP($A105,'(backend scoring)'!$V$2:$V$333,'(backend scoring)'!$A$2:$A$333,"")</f>
      </c>
      <c r="C105" s="208">
        <f>IFERROR(VLOOKUP($B105,'Institution Evaluation'!$A$55:$F$345,2,0),IFERROR(VLOOKUP($B105,'Privacy Analyst Evaluation'!$A$46:$F$120,2,0),""))&amp;""</f>
      </c>
      <c r="D105" s="208">
        <f>IFERROR(VLOOKUP($B105,'Institution Evaluation'!$A$55:$F$345,3,0),IFERROR(VLOOKUP($B105,'Privacy Analyst Evaluation'!$A$46:$F$120,3,0),""))&amp;""</f>
      </c>
      <c r="E105" s="208">
        <f>IFERROR(VLOOKUP($B105,'Institution Evaluation'!$A$55:$F$345,4,0),IFERROR(VLOOKUP($B105,'Privacy Analyst Evaluation'!$A$46:$F$120,4,0),""))&amp;""</f>
      </c>
      <c r="F105" s="208">
        <f>IFERROR(VLOOKUP($B105,'Institution Evaluation'!$A$55:$F$345,6,0),IFERROR(VLOOKUP($B105,'Privacy Analyst Evaluation'!$A$46:$F$120,6,0),""))&amp;""</f>
      </c>
      <c r="G105" s="209"/>
      <c r="H105" s="208" t="str">
        <f>IFERROR(IF($H104+1&gt;'(backend scoring)'!$Q$335,"",$H104+1),"")</f>
      </c>
      <c r="I105" s="208">
        <f>_xlfn.XLOOKUP($H105,'(backend scoring)'!$S$2:$S$333,'(backend scoring)'!$A$2:$A$333,"")</f>
      </c>
      <c r="J105" s="208">
        <f>IFERROR(VLOOKUP($I105,'Institution Evaluation'!$A$55:$F$345,2,0),IFERROR(VLOOKUP($I105,'Privacy Analyst Evaluation'!$A$46:$F$120,2,0),""))</f>
      </c>
      <c r="K105" s="208">
        <f>IFERROR(VLOOKUP($I105,'Institution Evaluation'!$A$55:$F$345,3,0),IFERROR(VLOOKUP($I105,'Privacy Analyst Evaluation'!$A$46:$F$120,3,0),""))&amp;""</f>
      </c>
      <c r="L105" s="208">
        <f>IFERROR(VLOOKUP($I105,'Institution Evaluation'!$A$55:$F$345,4,0),IFERROR(VLOOKUP($I105,'Privacy Analyst Evaluation'!$A$46:$F$120,4,0),""))&amp;""</f>
      </c>
      <c r="M105" s="208">
        <f>IFERROR(VLOOKUP($I105,'Institution Evaluation'!$A$55:$F$345,6,0),IFERROR(VLOOKUP($I105,'Privacy Analyst Evaluation'!$A$46:$F$120,6,0),""))&amp;""</f>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4" x14ac:dyDescent="0.2">
      <c r="A106" s="208">
        <f>IFERROR(IF($A105+1&gt;'(backend scoring)'!$T$335,"",$A105+1),"")</f>
      </c>
      <c r="B106" s="208">
        <f>_xlfn.XLOOKUP($A106,'(backend scoring)'!$V$2:$V$333,'(backend scoring)'!$A$2:$A$333,"")</f>
      </c>
      <c r="C106" s="208">
        <f>IFERROR(VLOOKUP($B106,'Institution Evaluation'!$A$55:$F$345,2,0),IFERROR(VLOOKUP($B106,'Privacy Analyst Evaluation'!$A$46:$F$120,2,0),""))&amp;""</f>
      </c>
      <c r="D106" s="208">
        <f>IFERROR(VLOOKUP($B106,'Institution Evaluation'!$A$55:$F$345,3,0),IFERROR(VLOOKUP($B106,'Privacy Analyst Evaluation'!$A$46:$F$120,3,0),""))&amp;""</f>
      </c>
      <c r="E106" s="208">
        <f>IFERROR(VLOOKUP($B106,'Institution Evaluation'!$A$55:$F$345,4,0),IFERROR(VLOOKUP($B106,'Privacy Analyst Evaluation'!$A$46:$F$120,4,0),""))&amp;""</f>
      </c>
      <c r="F106" s="208">
        <f>IFERROR(VLOOKUP($B106,'Institution Evaluation'!$A$55:$F$345,6,0),IFERROR(VLOOKUP($B106,'Privacy Analyst Evaluation'!$A$46:$F$120,6,0),""))&amp;""</f>
      </c>
      <c r="G106" s="209"/>
      <c r="H106" s="208" t="str">
        <f>IFERROR(IF($H105+1&gt;'(backend scoring)'!$Q$335,"",$H105+1),"")</f>
      </c>
      <c r="I106" s="208">
        <f>_xlfn.XLOOKUP($H106,'(backend scoring)'!$S$2:$S$333,'(backend scoring)'!$A$2:$A$333,"")</f>
      </c>
      <c r="J106" s="208">
        <f>IFERROR(VLOOKUP($I106,'Institution Evaluation'!$A$55:$F$345,2,0),IFERROR(VLOOKUP($I106,'Privacy Analyst Evaluation'!$A$46:$F$120,2,0),""))</f>
      </c>
      <c r="K106" s="208">
        <f>IFERROR(VLOOKUP($I106,'Institution Evaluation'!$A$55:$F$345,3,0),IFERROR(VLOOKUP($I106,'Privacy Analyst Evaluation'!$A$46:$F$120,3,0),""))&amp;""</f>
      </c>
      <c r="L106" s="208">
        <f>IFERROR(VLOOKUP($I106,'Institution Evaluation'!$A$55:$F$345,4,0),IFERROR(VLOOKUP($I106,'Privacy Analyst Evaluation'!$A$46:$F$120,4,0),""))&amp;""</f>
      </c>
      <c r="M106" s="208">
        <f>IFERROR(VLOOKUP($I106,'Institution Evaluation'!$A$55:$F$345,6,0),IFERROR(VLOOKUP($I106,'Privacy Analyst Evaluation'!$A$46:$F$120,6,0),""))&amp;""</f>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4" x14ac:dyDescent="0.2">
      <c r="A107" s="208">
        <f>IFERROR(IF($A106+1&gt;'(backend scoring)'!$T$335,"",$A106+1),"")</f>
      </c>
      <c r="B107" s="208">
        <f>_xlfn.XLOOKUP($A107,'(backend scoring)'!$V$2:$V$333,'(backend scoring)'!$A$2:$A$333,"")</f>
      </c>
      <c r="C107" s="208">
        <f>IFERROR(VLOOKUP($B107,'Institution Evaluation'!$A$55:$F$345,2,0),IFERROR(VLOOKUP($B107,'Privacy Analyst Evaluation'!$A$46:$F$120,2,0),""))&amp;""</f>
      </c>
      <c r="D107" s="208">
        <f>IFERROR(VLOOKUP($B107,'Institution Evaluation'!$A$55:$F$345,3,0),IFERROR(VLOOKUP($B107,'Privacy Analyst Evaluation'!$A$46:$F$120,3,0),""))&amp;""</f>
      </c>
      <c r="E107" s="208">
        <f>IFERROR(VLOOKUP($B107,'Institution Evaluation'!$A$55:$F$345,4,0),IFERROR(VLOOKUP($B107,'Privacy Analyst Evaluation'!$A$46:$F$120,4,0),""))&amp;""</f>
      </c>
      <c r="F107" s="208">
        <f>IFERROR(VLOOKUP($B107,'Institution Evaluation'!$A$55:$F$345,6,0),IFERROR(VLOOKUP($B107,'Privacy Analyst Evaluation'!$A$46:$F$120,6,0),""))&amp;""</f>
      </c>
      <c r="G107" s="209"/>
      <c r="H107" s="208" t="str">
        <f>IFERROR(IF($H106+1&gt;'(backend scoring)'!$Q$335,"",$H106+1),"")</f>
      </c>
      <c r="I107" s="208">
        <f>_xlfn.XLOOKUP($H107,'(backend scoring)'!$S$2:$S$333,'(backend scoring)'!$A$2:$A$333,"")</f>
      </c>
      <c r="J107" s="208">
        <f>IFERROR(VLOOKUP($I107,'Institution Evaluation'!$A$55:$F$345,2,0),IFERROR(VLOOKUP($I107,'Privacy Analyst Evaluation'!$A$46:$F$120,2,0),""))</f>
      </c>
      <c r="K107" s="208">
        <f>IFERROR(VLOOKUP($I107,'Institution Evaluation'!$A$55:$F$345,3,0),IFERROR(VLOOKUP($I107,'Privacy Analyst Evaluation'!$A$46:$F$120,3,0),""))&amp;""</f>
      </c>
      <c r="L107" s="208">
        <f>IFERROR(VLOOKUP($I107,'Institution Evaluation'!$A$55:$F$345,4,0),IFERROR(VLOOKUP($I107,'Privacy Analyst Evaluation'!$A$46:$F$120,4,0),""))&amp;""</f>
      </c>
      <c r="M107" s="208">
        <f>IFERROR(VLOOKUP($I107,'Institution Evaluation'!$A$55:$F$345,6,0),IFERROR(VLOOKUP($I107,'Privacy Analyst Evaluation'!$A$46:$F$120,6,0),""))&amp;""</f>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51" x14ac:dyDescent="0.2">
      <c r="A108" s="208">
        <f>IFERROR(IF($A107+1&gt;'(backend scoring)'!$T$335,"",$A107+1),"")</f>
      </c>
      <c r="B108" s="208">
        <f>_xlfn.XLOOKUP($A108,'(backend scoring)'!$V$2:$V$333,'(backend scoring)'!$A$2:$A$333,"")</f>
      </c>
      <c r="C108" s="208">
        <f>IFERROR(VLOOKUP($B108,'Institution Evaluation'!$A$55:$F$345,2,0),IFERROR(VLOOKUP($B108,'Privacy Analyst Evaluation'!$A$46:$F$120,2,0),""))&amp;""</f>
      </c>
      <c r="D108" s="208">
        <f>IFERROR(VLOOKUP($B108,'Institution Evaluation'!$A$55:$F$345,3,0),IFERROR(VLOOKUP($B108,'Privacy Analyst Evaluation'!$A$46:$F$120,3,0),""))&amp;""</f>
      </c>
      <c r="E108" s="208">
        <f>IFERROR(VLOOKUP($B108,'Institution Evaluation'!$A$55:$F$345,4,0),IFERROR(VLOOKUP($B108,'Privacy Analyst Evaluation'!$A$46:$F$120,4,0),""))&amp;""</f>
      </c>
      <c r="F108" s="208">
        <f>IFERROR(VLOOKUP($B108,'Institution Evaluation'!$A$55:$F$345,6,0),IFERROR(VLOOKUP($B108,'Privacy Analyst Evaluation'!$A$46:$F$120,6,0),""))&amp;""</f>
      </c>
      <c r="G108" s="209"/>
      <c r="H108" s="208" t="str">
        <f>IFERROR(IF($H107+1&gt;'(backend scoring)'!$Q$335,"",$H107+1),"")</f>
      </c>
      <c r="I108" s="208">
        <f>_xlfn.XLOOKUP($H108,'(backend scoring)'!$S$2:$S$333,'(backend scoring)'!$A$2:$A$333,"")</f>
      </c>
      <c r="J108" s="208">
        <f>IFERROR(VLOOKUP($I108,'Institution Evaluation'!$A$55:$F$345,2,0),IFERROR(VLOOKUP($I108,'Privacy Analyst Evaluation'!$A$46:$F$120,2,0),""))</f>
      </c>
      <c r="K108" s="208">
        <f>IFERROR(VLOOKUP($I108,'Institution Evaluation'!$A$55:$F$345,3,0),IFERROR(VLOOKUP($I108,'Privacy Analyst Evaluation'!$A$46:$F$120,3,0),""))&amp;""</f>
      </c>
      <c r="L108" s="208">
        <f>IFERROR(VLOOKUP($I108,'Institution Evaluation'!$A$55:$F$345,4,0),IFERROR(VLOOKUP($I108,'Privacy Analyst Evaluation'!$A$46:$F$120,4,0),""))&amp;""</f>
      </c>
      <c r="M108" s="208">
        <f>IFERROR(VLOOKUP($I108,'Institution Evaluation'!$A$55:$F$345,6,0),IFERROR(VLOOKUP($I108,'Privacy Analyst Evaluation'!$A$46:$F$120,6,0),""))&amp;""</f>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68" x14ac:dyDescent="0.2">
      <c r="A109" s="208">
        <f>IFERROR(IF($A108+1&gt;'(backend scoring)'!$T$335,"",$A108+1),"")</f>
      </c>
      <c r="B109" s="208">
        <f>_xlfn.XLOOKUP($A109,'(backend scoring)'!$V$2:$V$333,'(backend scoring)'!$A$2:$A$333,"")</f>
      </c>
      <c r="C109" s="208">
        <f>IFERROR(VLOOKUP($B109,'Institution Evaluation'!$A$55:$F$345,2,0),IFERROR(VLOOKUP($B109,'Privacy Analyst Evaluation'!$A$46:$F$120,2,0),""))&amp;""</f>
      </c>
      <c r="D109" s="208">
        <f>IFERROR(VLOOKUP($B109,'Institution Evaluation'!$A$55:$F$345,3,0),IFERROR(VLOOKUP($B109,'Privacy Analyst Evaluation'!$A$46:$F$120,3,0),""))&amp;""</f>
      </c>
      <c r="E109" s="208">
        <f>IFERROR(VLOOKUP($B109,'Institution Evaluation'!$A$55:$F$345,4,0),IFERROR(VLOOKUP($B109,'Privacy Analyst Evaluation'!$A$46:$F$120,4,0),""))&amp;""</f>
      </c>
      <c r="F109" s="208">
        <f>IFERROR(VLOOKUP($B109,'Institution Evaluation'!$A$55:$F$345,6,0),IFERROR(VLOOKUP($B109,'Privacy Analyst Evaluation'!$A$46:$F$120,6,0),""))&amp;""</f>
      </c>
      <c r="G109" s="209"/>
      <c r="H109" s="208" t="str">
        <f>IFERROR(IF($H108+1&gt;'(backend scoring)'!$Q$335,"",$H108+1),"")</f>
      </c>
      <c r="I109" s="208">
        <f>_xlfn.XLOOKUP($H109,'(backend scoring)'!$S$2:$S$333,'(backend scoring)'!$A$2:$A$333,"")</f>
      </c>
      <c r="J109" s="208">
        <f>IFERROR(VLOOKUP($I109,'Institution Evaluation'!$A$55:$F$345,2,0),IFERROR(VLOOKUP($I109,'Privacy Analyst Evaluation'!$A$46:$F$120,2,0),""))</f>
      </c>
      <c r="K109" s="208">
        <f>IFERROR(VLOOKUP($I109,'Institution Evaluation'!$A$55:$F$345,3,0),IFERROR(VLOOKUP($I109,'Privacy Analyst Evaluation'!$A$46:$F$120,3,0),""))&amp;""</f>
      </c>
      <c r="L109" s="208">
        <f>IFERROR(VLOOKUP($I109,'Institution Evaluation'!$A$55:$F$345,4,0),IFERROR(VLOOKUP($I109,'Privacy Analyst Evaluation'!$A$46:$F$120,4,0),""))&amp;""</f>
      </c>
      <c r="M109" s="208">
        <f>IFERROR(VLOOKUP($I109,'Institution Evaluation'!$A$55:$F$345,6,0),IFERROR(VLOOKUP($I109,'Privacy Analyst Evaluation'!$A$46:$F$120,6,0),""))&amp;""</f>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68" x14ac:dyDescent="0.2">
      <c r="A110" s="208">
        <f>IFERROR(IF($A109+1&gt;'(backend scoring)'!$T$335,"",$A109+1),"")</f>
      </c>
      <c r="B110" s="208">
        <f>_xlfn.XLOOKUP($A110,'(backend scoring)'!$V$2:$V$333,'(backend scoring)'!$A$2:$A$333,"")</f>
      </c>
      <c r="C110" s="208">
        <f>IFERROR(VLOOKUP($B110,'Institution Evaluation'!$A$55:$F$345,2,0),IFERROR(VLOOKUP($B110,'Privacy Analyst Evaluation'!$A$46:$F$120,2,0),""))&amp;""</f>
      </c>
      <c r="D110" s="208">
        <f>IFERROR(VLOOKUP($B110,'Institution Evaluation'!$A$55:$F$345,3,0),IFERROR(VLOOKUP($B110,'Privacy Analyst Evaluation'!$A$46:$F$120,3,0),""))&amp;""</f>
      </c>
      <c r="E110" s="208">
        <f>IFERROR(VLOOKUP($B110,'Institution Evaluation'!$A$55:$F$345,4,0),IFERROR(VLOOKUP($B110,'Privacy Analyst Evaluation'!$A$46:$F$120,4,0),""))&amp;""</f>
      </c>
      <c r="F110" s="208">
        <f>IFERROR(VLOOKUP($B110,'Institution Evaluation'!$A$55:$F$345,6,0),IFERROR(VLOOKUP($B110,'Privacy Analyst Evaluation'!$A$46:$F$120,6,0),""))&amp;""</f>
      </c>
      <c r="G110" s="209"/>
      <c r="H110" s="208" t="str">
        <f>IFERROR(IF($H109+1&gt;'(backend scoring)'!$Q$335,"",$H109+1),"")</f>
      </c>
      <c r="I110" s="208">
        <f>_xlfn.XLOOKUP($H110,'(backend scoring)'!$S$2:$S$333,'(backend scoring)'!$A$2:$A$333,"")</f>
      </c>
      <c r="J110" s="208">
        <f>IFERROR(VLOOKUP($I110,'Institution Evaluation'!$A$55:$F$345,2,0),IFERROR(VLOOKUP($I110,'Privacy Analyst Evaluation'!$A$46:$F$120,2,0),""))</f>
      </c>
      <c r="K110" s="208">
        <f>IFERROR(VLOOKUP($I110,'Institution Evaluation'!$A$55:$F$345,3,0),IFERROR(VLOOKUP($I110,'Privacy Analyst Evaluation'!$A$46:$F$120,3,0),""))&amp;""</f>
      </c>
      <c r="L110" s="208">
        <f>IFERROR(VLOOKUP($I110,'Institution Evaluation'!$A$55:$F$345,4,0),IFERROR(VLOOKUP($I110,'Privacy Analyst Evaluation'!$A$46:$F$120,4,0),""))&amp;""</f>
      </c>
      <c r="M110" s="208">
        <f>IFERROR(VLOOKUP($I110,'Institution Evaluation'!$A$55:$F$345,6,0),IFERROR(VLOOKUP($I110,'Privacy Analyst Evaluation'!$A$46:$F$120,6,0),""))&amp;""</f>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51" x14ac:dyDescent="0.2">
      <c r="A111" s="208">
        <f>IFERROR(IF($A110+1&gt;'(backend scoring)'!$T$335,"",$A110+1),"")</f>
      </c>
      <c r="B111" s="208">
        <f>_xlfn.XLOOKUP($A111,'(backend scoring)'!$V$2:$V$333,'(backend scoring)'!$A$2:$A$333,"")</f>
      </c>
      <c r="C111" s="208">
        <f>IFERROR(VLOOKUP($B111,'Institution Evaluation'!$A$55:$F$345,2,0),IFERROR(VLOOKUP($B111,'Privacy Analyst Evaluation'!$A$46:$F$120,2,0),""))&amp;""</f>
      </c>
      <c r="D111" s="208">
        <f>IFERROR(VLOOKUP($B111,'Institution Evaluation'!$A$55:$F$345,3,0),IFERROR(VLOOKUP($B111,'Privacy Analyst Evaluation'!$A$46:$F$120,3,0),""))&amp;""</f>
      </c>
      <c r="E111" s="208">
        <f>IFERROR(VLOOKUP($B111,'Institution Evaluation'!$A$55:$F$345,4,0),IFERROR(VLOOKUP($B111,'Privacy Analyst Evaluation'!$A$46:$F$120,4,0),""))&amp;""</f>
      </c>
      <c r="F111" s="208">
        <f>IFERROR(VLOOKUP($B111,'Institution Evaluation'!$A$55:$F$345,6,0),IFERROR(VLOOKUP($B111,'Privacy Analyst Evaluation'!$A$46:$F$120,6,0),""))&amp;""</f>
      </c>
      <c r="G111" s="209"/>
      <c r="H111" s="208" t="str">
        <f>IFERROR(IF($H110+1&gt;'(backend scoring)'!$Q$335,"",$H110+1),"")</f>
      </c>
      <c r="I111" s="208">
        <f>_xlfn.XLOOKUP($H111,'(backend scoring)'!$S$2:$S$333,'(backend scoring)'!$A$2:$A$333,"")</f>
      </c>
      <c r="J111" s="208">
        <f>IFERROR(VLOOKUP($I111,'Institution Evaluation'!$A$55:$F$345,2,0),IFERROR(VLOOKUP($I111,'Privacy Analyst Evaluation'!$A$46:$F$120,2,0),""))</f>
      </c>
      <c r="K111" s="208">
        <f>IFERROR(VLOOKUP($I111,'Institution Evaluation'!$A$55:$F$345,3,0),IFERROR(VLOOKUP($I111,'Privacy Analyst Evaluation'!$A$46:$F$120,3,0),""))&amp;""</f>
      </c>
      <c r="L111" s="208">
        <f>IFERROR(VLOOKUP($I111,'Institution Evaluation'!$A$55:$F$345,4,0),IFERROR(VLOOKUP($I111,'Privacy Analyst Evaluation'!$A$46:$F$120,4,0),""))&amp;""</f>
      </c>
      <c r="M111" s="208">
        <f>IFERROR(VLOOKUP($I111,'Institution Evaluation'!$A$55:$F$345,6,0),IFERROR(VLOOKUP($I111,'Privacy Analyst Evaluation'!$A$46:$F$120,6,0),""))&amp;""</f>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ht="17" x14ac:dyDescent="0.2">
      <c r="A112" s="208" t="str">
        <f>IFERROR(IF($A111+1&gt;'(backend scoring)'!$T$335,"",$A111+1),"")</f>
      </c>
      <c r="B112" s="208">
        <f>_xlfn.XLOOKUP($A112,'(backend scoring)'!$V$2:$V$333,'(backend scoring)'!$A$2:$A$333,"")</f>
      </c>
      <c r="C112" s="208">
        <f>IFERROR(VLOOKUP($B112,'Institution Evaluation'!$A$55:$F$345,2,0),IFERROR(VLOOKUP($B112,'Privacy Analyst Evaluation'!$A$46:$F$120,2,0),""))&amp;""</f>
      </c>
      <c r="D112" s="208">
        <f>IFERROR(VLOOKUP($B112,'Institution Evaluation'!$A$55:$F$345,3,0),IFERROR(VLOOKUP($B112,'Privacy Analyst Evaluation'!$A$46:$F$120,3,0),""))&amp;""</f>
      </c>
      <c r="E112" s="208">
        <f>IFERROR(VLOOKUP($B112,'Institution Evaluation'!$A$55:$F$345,4,0),IFERROR(VLOOKUP($B112,'Privacy Analyst Evaluation'!$A$46:$F$120,4,0),""))&amp;""</f>
      </c>
      <c r="F112" s="208">
        <f>IFERROR(VLOOKUP($B112,'Institution Evaluation'!$A$55:$F$345,6,0),IFERROR(VLOOKUP($B112,'Privacy Analyst Evaluation'!$A$46:$F$120,6,0),""))&amp;""</f>
      </c>
      <c r="G112" s="209"/>
      <c r="H112" s="208" t="str">
        <f>IFERROR(IF($H111+1&gt;'(backend scoring)'!$Q$335,"",$H111+1),"")</f>
      </c>
      <c r="I112" s="208">
        <f>_xlfn.XLOOKUP($H112,'(backend scoring)'!$S$2:$S$333,'(backend scoring)'!$A$2:$A$333,"")</f>
      </c>
      <c r="J112" s="208">
        <f>IFERROR(VLOOKUP($I112,'Institution Evaluation'!$A$55:$F$345,2,0),IFERROR(VLOOKUP($I112,'Privacy Analyst Evaluation'!$A$46:$F$120,2,0),""))</f>
      </c>
      <c r="K112" s="208">
        <f>IFERROR(VLOOKUP($I112,'Institution Evaluation'!$A$55:$F$345,3,0),IFERROR(VLOOKUP($I112,'Privacy Analyst Evaluation'!$A$46:$F$120,3,0),""))&amp;""</f>
      </c>
      <c r="L112" s="208">
        <f>IFERROR(VLOOKUP($I112,'Institution Evaluation'!$A$55:$F$345,4,0),IFERROR(VLOOKUP($I112,'Privacy Analyst Evaluation'!$A$46:$F$120,4,0),""))&amp;""</f>
      </c>
      <c r="M112" s="208">
        <f>IFERROR(VLOOKUP($I112,'Institution Evaluation'!$A$55:$F$345,6,0),IFERROR(VLOOKUP($I112,'Privacy Analyst Evaluation'!$A$46:$F$120,6,0),""))&amp;""</f>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ht="17" x14ac:dyDescent="0.2">
      <c r="A113" s="208" t="str">
        <f>IFERROR(IF($A112+1&gt;'(backend scoring)'!$T$335,"",$A112+1),"")</f>
      </c>
      <c r="B113" s="208">
        <f>_xlfn.XLOOKUP($A113,'(backend scoring)'!$V$2:$V$333,'(backend scoring)'!$A$2:$A$333,"")</f>
      </c>
      <c r="C113" s="208">
        <f>IFERROR(VLOOKUP($B113,'Institution Evaluation'!$A$55:$F$345,2,0),IFERROR(VLOOKUP($B113,'Privacy Analyst Evaluation'!$A$46:$F$120,2,0),""))&amp;""</f>
      </c>
      <c r="D113" s="208">
        <f>IFERROR(VLOOKUP($B113,'Institution Evaluation'!$A$55:$F$345,3,0),IFERROR(VLOOKUP($B113,'Privacy Analyst Evaluation'!$A$46:$F$120,3,0),""))&amp;""</f>
      </c>
      <c r="E113" s="208">
        <f>IFERROR(VLOOKUP($B113,'Institution Evaluation'!$A$55:$F$345,4,0),IFERROR(VLOOKUP($B113,'Privacy Analyst Evaluation'!$A$46:$F$120,4,0),""))&amp;""</f>
      </c>
      <c r="F113" s="208">
        <f>IFERROR(VLOOKUP($B113,'Institution Evaluation'!$A$55:$F$345,6,0),IFERROR(VLOOKUP($B113,'Privacy Analyst Evaluation'!$A$46:$F$120,6,0),""))&amp;""</f>
      </c>
      <c r="G113" s="209"/>
      <c r="H113" s="208" t="str">
        <f>IFERROR(IF($H112+1&gt;'(backend scoring)'!$Q$335,"",$H112+1),"")</f>
      </c>
      <c r="I113" s="208">
        <f>_xlfn.XLOOKUP($H113,'(backend scoring)'!$S$2:$S$333,'(backend scoring)'!$A$2:$A$333,"")</f>
      </c>
      <c r="J113" s="208">
        <f>IFERROR(VLOOKUP($I113,'Institution Evaluation'!$A$55:$F$345,2,0),IFERROR(VLOOKUP($I113,'Privacy Analyst Evaluation'!$A$46:$F$120,2,0),""))</f>
      </c>
      <c r="K113" s="208">
        <f>IFERROR(VLOOKUP($I113,'Institution Evaluation'!$A$55:$F$345,3,0),IFERROR(VLOOKUP($I113,'Privacy Analyst Evaluation'!$A$46:$F$120,3,0),""))&amp;""</f>
      </c>
      <c r="L113" s="208">
        <f>IFERROR(VLOOKUP($I113,'Institution Evaluation'!$A$55:$F$345,4,0),IFERROR(VLOOKUP($I113,'Privacy Analyst Evaluation'!$A$46:$F$120,4,0),""))&amp;""</f>
      </c>
      <c r="M113" s="208">
        <f>IFERROR(VLOOKUP($I113,'Institution Evaluation'!$A$55:$F$345,6,0),IFERROR(VLOOKUP($I113,'Privacy Analyst Evaluation'!$A$46:$F$120,6,0),""))&amp;""</f>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ht="17" x14ac:dyDescent="0.2">
      <c r="A114" s="208" t="str">
        <f>IFERROR(IF($A113+1&gt;'(backend scoring)'!$T$335,"",$A113+1),"")</f>
      </c>
      <c r="B114" s="208">
        <f>_xlfn.XLOOKUP($A114,'(backend scoring)'!$V$2:$V$333,'(backend scoring)'!$A$2:$A$333,"")</f>
      </c>
      <c r="C114" s="208">
        <f>IFERROR(VLOOKUP($B114,'Institution Evaluation'!$A$55:$F$345,2,0),IFERROR(VLOOKUP($B114,'Privacy Analyst Evaluation'!$A$46:$F$120,2,0),""))&amp;""</f>
      </c>
      <c r="D114" s="208">
        <f>IFERROR(VLOOKUP($B114,'Institution Evaluation'!$A$55:$F$345,3,0),IFERROR(VLOOKUP($B114,'Privacy Analyst Evaluation'!$A$46:$F$120,3,0),""))&amp;""</f>
      </c>
      <c r="E114" s="208">
        <f>IFERROR(VLOOKUP($B114,'Institution Evaluation'!$A$55:$F$345,4,0),IFERROR(VLOOKUP($B114,'Privacy Analyst Evaluation'!$A$46:$F$120,4,0),""))&amp;""</f>
      </c>
      <c r="F114" s="208">
        <f>IFERROR(VLOOKUP($B114,'Institution Evaluation'!$A$55:$F$345,6,0),IFERROR(VLOOKUP($B114,'Privacy Analyst Evaluation'!$A$46:$F$120,6,0),""))&amp;""</f>
      </c>
      <c r="G114" s="209"/>
      <c r="H114" s="208" t="str">
        <f>IFERROR(IF($H113+1&gt;'(backend scoring)'!$Q$335,"",$H113+1),"")</f>
      </c>
      <c r="I114" s="208">
        <f>_xlfn.XLOOKUP($H114,'(backend scoring)'!$S$2:$S$333,'(backend scoring)'!$A$2:$A$333,"")</f>
      </c>
      <c r="J114" s="208">
        <f>IFERROR(VLOOKUP($I114,'Institution Evaluation'!$A$55:$F$345,2,0),IFERROR(VLOOKUP($I114,'Privacy Analyst Evaluation'!$A$46:$F$120,2,0),""))</f>
      </c>
      <c r="K114" s="208">
        <f>IFERROR(VLOOKUP($I114,'Institution Evaluation'!$A$55:$F$345,3,0),IFERROR(VLOOKUP($I114,'Privacy Analyst Evaluation'!$A$46:$F$120,3,0),""))&amp;""</f>
      </c>
      <c r="L114" s="208">
        <f>IFERROR(VLOOKUP($I114,'Institution Evaluation'!$A$55:$F$345,4,0),IFERROR(VLOOKUP($I114,'Privacy Analyst Evaluation'!$A$46:$F$120,4,0),""))&amp;""</f>
      </c>
      <c r="M114" s="208">
        <f>IFERROR(VLOOKUP($I114,'Institution Evaluation'!$A$55:$F$345,6,0),IFERROR(VLOOKUP($I114,'Privacy Analyst Evaluation'!$A$46:$F$120,6,0),""))&amp;""</f>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ht="17" x14ac:dyDescent="0.2">
      <c r="A115" s="208" t="str">
        <f>IFERROR(IF($A114+1&gt;'(backend scoring)'!$T$335,"",$A114+1),"")</f>
      </c>
      <c r="B115" s="208">
        <f>_xlfn.XLOOKUP($A115,'(backend scoring)'!$V$2:$V$333,'(backend scoring)'!$A$2:$A$333,"")</f>
      </c>
      <c r="C115" s="208">
        <f>IFERROR(VLOOKUP($B115,'Institution Evaluation'!$A$55:$F$345,2,0),IFERROR(VLOOKUP($B115,'Privacy Analyst Evaluation'!$A$46:$F$120,2,0),""))&amp;""</f>
      </c>
      <c r="D115" s="208">
        <f>IFERROR(VLOOKUP($B115,'Institution Evaluation'!$A$55:$F$345,3,0),IFERROR(VLOOKUP($B115,'Privacy Analyst Evaluation'!$A$46:$F$120,3,0),""))&amp;""</f>
      </c>
      <c r="E115" s="208">
        <f>IFERROR(VLOOKUP($B115,'Institution Evaluation'!$A$55:$F$345,4,0),IFERROR(VLOOKUP($B115,'Privacy Analyst Evaluation'!$A$46:$F$120,4,0),""))&amp;""</f>
      </c>
      <c r="F115" s="208">
        <f>IFERROR(VLOOKUP($B115,'Institution Evaluation'!$A$55:$F$345,6,0),IFERROR(VLOOKUP($B115,'Privacy Analyst Evaluation'!$A$46:$F$120,6,0),""))&amp;""</f>
      </c>
      <c r="G115" s="209"/>
      <c r="H115" s="208" t="str">
        <f>IFERROR(IF($H114+1&gt;'(backend scoring)'!$Q$335,"",$H114+1),"")</f>
      </c>
      <c r="I115" s="208">
        <f>_xlfn.XLOOKUP($H115,'(backend scoring)'!$S$2:$S$333,'(backend scoring)'!$A$2:$A$333,"")</f>
      </c>
      <c r="J115" s="208">
        <f>IFERROR(VLOOKUP($I115,'Institution Evaluation'!$A$55:$F$345,2,0),IFERROR(VLOOKUP($I115,'Privacy Analyst Evaluation'!$A$46:$F$120,2,0),""))</f>
      </c>
      <c r="K115" s="208">
        <f>IFERROR(VLOOKUP($I115,'Institution Evaluation'!$A$55:$F$345,3,0),IFERROR(VLOOKUP($I115,'Privacy Analyst Evaluation'!$A$46:$F$120,3,0),""))&amp;""</f>
      </c>
      <c r="L115" s="208">
        <f>IFERROR(VLOOKUP($I115,'Institution Evaluation'!$A$55:$F$345,4,0),IFERROR(VLOOKUP($I115,'Privacy Analyst Evaluation'!$A$46:$F$120,4,0),""))&amp;""</f>
      </c>
      <c r="M115" s="208">
        <f>IFERROR(VLOOKUP($I115,'Institution Evaluation'!$A$55:$F$345,6,0),IFERROR(VLOOKUP($I115,'Privacy Analyst Evaluation'!$A$46:$F$120,6,0),""))&amp;""</f>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ht="17" x14ac:dyDescent="0.2">
      <c r="A116" s="208" t="str">
        <f>IFERROR(IF($A115+1&gt;'(backend scoring)'!$T$335,"",$A115+1),"")</f>
      </c>
      <c r="B116" s="208">
        <f>_xlfn.XLOOKUP($A116,'(backend scoring)'!$V$2:$V$333,'(backend scoring)'!$A$2:$A$333,"")</f>
      </c>
      <c r="C116" s="208">
        <f>IFERROR(VLOOKUP($B116,'Institution Evaluation'!$A$55:$F$345,2,0),IFERROR(VLOOKUP($B116,'Privacy Analyst Evaluation'!$A$46:$F$120,2,0),""))&amp;""</f>
      </c>
      <c r="D116" s="208">
        <f>IFERROR(VLOOKUP($B116,'Institution Evaluation'!$A$55:$F$345,3,0),IFERROR(VLOOKUP($B116,'Privacy Analyst Evaluation'!$A$46:$F$120,3,0),""))&amp;""</f>
      </c>
      <c r="E116" s="208">
        <f>IFERROR(VLOOKUP($B116,'Institution Evaluation'!$A$55:$F$345,4,0),IFERROR(VLOOKUP($B116,'Privacy Analyst Evaluation'!$A$46:$F$120,4,0),""))&amp;""</f>
      </c>
      <c r="F116" s="208">
        <f>IFERROR(VLOOKUP($B116,'Institution Evaluation'!$A$55:$F$345,6,0),IFERROR(VLOOKUP($B116,'Privacy Analyst Evaluation'!$A$46:$F$120,6,0),""))&amp;""</f>
      </c>
      <c r="G116" s="209"/>
      <c r="H116" s="208" t="str">
        <f>IFERROR(IF($H115+1&gt;'(backend scoring)'!$Q$335,"",$H115+1),"")</f>
      </c>
      <c r="I116" s="208">
        <f>_xlfn.XLOOKUP($H116,'(backend scoring)'!$S$2:$S$333,'(backend scoring)'!$A$2:$A$333,"")</f>
      </c>
      <c r="J116" s="208">
        <f>IFERROR(VLOOKUP($I116,'Institution Evaluation'!$A$55:$F$345,2,0),IFERROR(VLOOKUP($I116,'Privacy Analyst Evaluation'!$A$46:$F$120,2,0),""))</f>
      </c>
      <c r="K116" s="208">
        <f>IFERROR(VLOOKUP($I116,'Institution Evaluation'!$A$55:$F$345,3,0),IFERROR(VLOOKUP($I116,'Privacy Analyst Evaluation'!$A$46:$F$120,3,0),""))&amp;""</f>
      </c>
      <c r="L116" s="208">
        <f>IFERROR(VLOOKUP($I116,'Institution Evaluation'!$A$55:$F$345,4,0),IFERROR(VLOOKUP($I116,'Privacy Analyst Evaluation'!$A$46:$F$120,4,0),""))&amp;""</f>
      </c>
      <c r="M116" s="208">
        <f>IFERROR(VLOOKUP($I116,'Institution Evaluation'!$A$55:$F$345,6,0),IFERROR(VLOOKUP($I116,'Privacy Analyst Evaluation'!$A$46:$F$120,6,0),""))&amp;""</f>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ht="17" x14ac:dyDescent="0.2">
      <c r="A117" s="208" t="str">
        <f>IFERROR(IF($A116+1&gt;'(backend scoring)'!$T$335,"",$A116+1),"")</f>
      </c>
      <c r="B117" s="208">
        <f>_xlfn.XLOOKUP($A117,'(backend scoring)'!$V$2:$V$333,'(backend scoring)'!$A$2:$A$333,"")</f>
      </c>
      <c r="C117" s="208">
        <f>IFERROR(VLOOKUP($B117,'Institution Evaluation'!$A$55:$F$345,2,0),IFERROR(VLOOKUP($B117,'Privacy Analyst Evaluation'!$A$46:$F$120,2,0),""))&amp;""</f>
      </c>
      <c r="D117" s="208">
        <f>IFERROR(VLOOKUP($B117,'Institution Evaluation'!$A$55:$F$345,3,0),IFERROR(VLOOKUP($B117,'Privacy Analyst Evaluation'!$A$46:$F$120,3,0),""))&amp;""</f>
      </c>
      <c r="E117" s="208">
        <f>IFERROR(VLOOKUP($B117,'Institution Evaluation'!$A$55:$F$345,4,0),IFERROR(VLOOKUP($B117,'Privacy Analyst Evaluation'!$A$46:$F$120,4,0),""))&amp;""</f>
      </c>
      <c r="F117" s="208">
        <f>IFERROR(VLOOKUP($B117,'Institution Evaluation'!$A$55:$F$345,6,0),IFERROR(VLOOKUP($B117,'Privacy Analyst Evaluation'!$A$46:$F$120,6,0),""))&amp;""</f>
      </c>
      <c r="G117" s="209"/>
      <c r="H117" s="208" t="str">
        <f>IFERROR(IF($H116+1&gt;'(backend scoring)'!$Q$335,"",$H116+1),"")</f>
      </c>
      <c r="I117" s="208">
        <f>_xlfn.XLOOKUP($H117,'(backend scoring)'!$S$2:$S$333,'(backend scoring)'!$A$2:$A$333,"")</f>
      </c>
      <c r="J117" s="208">
        <f>IFERROR(VLOOKUP($I117,'Institution Evaluation'!$A$55:$F$345,2,0),IFERROR(VLOOKUP($I117,'Privacy Analyst Evaluation'!$A$46:$F$120,2,0),""))</f>
      </c>
      <c r="K117" s="208">
        <f>IFERROR(VLOOKUP($I117,'Institution Evaluation'!$A$55:$F$345,3,0),IFERROR(VLOOKUP($I117,'Privacy Analyst Evaluation'!$A$46:$F$120,3,0),""))&amp;""</f>
      </c>
      <c r="L117" s="208">
        <f>IFERROR(VLOOKUP($I117,'Institution Evaluation'!$A$55:$F$345,4,0),IFERROR(VLOOKUP($I117,'Privacy Analyst Evaluation'!$A$46:$F$120,4,0),""))&amp;""</f>
      </c>
      <c r="M117" s="208">
        <f>IFERROR(VLOOKUP($I117,'Institution Evaluation'!$A$55:$F$345,6,0),IFERROR(VLOOKUP($I117,'Privacy Analyst Evaluation'!$A$46:$F$120,6,0),""))&amp;""</f>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ht="17" x14ac:dyDescent="0.2">
      <c r="A118" s="208" t="str">
        <f>IFERROR(IF($A117+1&gt;'(backend scoring)'!$T$335,"",$A117+1),"")</f>
      </c>
      <c r="B118" s="208">
        <f>_xlfn.XLOOKUP($A118,'(backend scoring)'!$V$2:$V$333,'(backend scoring)'!$A$2:$A$333,"")</f>
      </c>
      <c r="C118" s="208">
        <f>IFERROR(VLOOKUP($B118,'Institution Evaluation'!$A$55:$F$345,2,0),IFERROR(VLOOKUP($B118,'Privacy Analyst Evaluation'!$A$46:$F$120,2,0),""))&amp;""</f>
      </c>
      <c r="D118" s="208">
        <f>IFERROR(VLOOKUP($B118,'Institution Evaluation'!$A$55:$F$345,3,0),IFERROR(VLOOKUP($B118,'Privacy Analyst Evaluation'!$A$46:$F$120,3,0),""))&amp;""</f>
      </c>
      <c r="E118" s="208">
        <f>IFERROR(VLOOKUP($B118,'Institution Evaluation'!$A$55:$F$345,4,0),IFERROR(VLOOKUP($B118,'Privacy Analyst Evaluation'!$A$46:$F$120,4,0),""))&amp;""</f>
      </c>
      <c r="F118" s="208">
        <f>IFERROR(VLOOKUP($B118,'Institution Evaluation'!$A$55:$F$345,6,0),IFERROR(VLOOKUP($B118,'Privacy Analyst Evaluation'!$A$46:$F$120,6,0),""))&amp;""</f>
      </c>
      <c r="G118" s="209"/>
      <c r="H118" s="208" t="str">
        <f>IFERROR(IF($H117+1&gt;'(backend scoring)'!$Q$335,"",$H117+1),"")</f>
      </c>
      <c r="I118" s="208">
        <f>_xlfn.XLOOKUP($H118,'(backend scoring)'!$S$2:$S$333,'(backend scoring)'!$A$2:$A$333,"")</f>
      </c>
      <c r="J118" s="208">
        <f>IFERROR(VLOOKUP($I118,'Institution Evaluation'!$A$55:$F$345,2,0),IFERROR(VLOOKUP($I118,'Privacy Analyst Evaluation'!$A$46:$F$120,2,0),""))</f>
      </c>
      <c r="K118" s="208">
        <f>IFERROR(VLOOKUP($I118,'Institution Evaluation'!$A$55:$F$345,3,0),IFERROR(VLOOKUP($I118,'Privacy Analyst Evaluation'!$A$46:$F$120,3,0),""))&amp;""</f>
      </c>
      <c r="L118" s="208">
        <f>IFERROR(VLOOKUP($I118,'Institution Evaluation'!$A$55:$F$345,4,0),IFERROR(VLOOKUP($I118,'Privacy Analyst Evaluation'!$A$46:$F$120,4,0),""))&amp;""</f>
      </c>
      <c r="M118" s="208">
        <f>IFERROR(VLOOKUP($I118,'Institution Evaluation'!$A$55:$F$345,6,0),IFERROR(VLOOKUP($I118,'Privacy Analyst Evaluation'!$A$46:$F$120,6,0),""))&amp;""</f>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ht="17" x14ac:dyDescent="0.2">
      <c r="A119" s="208" t="str">
        <f>IFERROR(IF($A118+1&gt;'(backend scoring)'!$T$335,"",$A118+1),"")</f>
      </c>
      <c r="B119" s="208">
        <f>_xlfn.XLOOKUP($A119,'(backend scoring)'!$V$2:$V$333,'(backend scoring)'!$A$2:$A$333,"")</f>
      </c>
      <c r="C119" s="208">
        <f>IFERROR(VLOOKUP($B119,'Institution Evaluation'!$A$55:$F$345,2,0),IFERROR(VLOOKUP($B119,'Privacy Analyst Evaluation'!$A$46:$F$120,2,0),""))&amp;""</f>
      </c>
      <c r="D119" s="208">
        <f>IFERROR(VLOOKUP($B119,'Institution Evaluation'!$A$55:$F$345,3,0),IFERROR(VLOOKUP($B119,'Privacy Analyst Evaluation'!$A$46:$F$120,3,0),""))&amp;""</f>
      </c>
      <c r="E119" s="208">
        <f>IFERROR(VLOOKUP($B119,'Institution Evaluation'!$A$55:$F$345,4,0),IFERROR(VLOOKUP($B119,'Privacy Analyst Evaluation'!$A$46:$F$120,4,0),""))&amp;""</f>
      </c>
      <c r="F119" s="208">
        <f>IFERROR(VLOOKUP($B119,'Institution Evaluation'!$A$55:$F$345,6,0),IFERROR(VLOOKUP($B119,'Privacy Analyst Evaluation'!$A$46:$F$120,6,0),""))&amp;""</f>
      </c>
      <c r="G119" s="209"/>
      <c r="H119" s="208" t="str">
        <f>IFERROR(IF($H118+1&gt;'(backend scoring)'!$Q$335,"",$H118+1),"")</f>
      </c>
      <c r="I119" s="208">
        <f>_xlfn.XLOOKUP($H119,'(backend scoring)'!$S$2:$S$333,'(backend scoring)'!$A$2:$A$333,"")</f>
      </c>
      <c r="J119" s="208">
        <f>IFERROR(VLOOKUP($I119,'Institution Evaluation'!$A$55:$F$345,2,0),IFERROR(VLOOKUP($I119,'Privacy Analyst Evaluation'!$A$46:$F$120,2,0),""))</f>
      </c>
      <c r="K119" s="208">
        <f>IFERROR(VLOOKUP($I119,'Institution Evaluation'!$A$55:$F$345,3,0),IFERROR(VLOOKUP($I119,'Privacy Analyst Evaluation'!$A$46:$F$120,3,0),""))&amp;""</f>
      </c>
      <c r="L119" s="208">
        <f>IFERROR(VLOOKUP($I119,'Institution Evaluation'!$A$55:$F$345,4,0),IFERROR(VLOOKUP($I119,'Privacy Analyst Evaluation'!$A$46:$F$120,4,0),""))&amp;""</f>
      </c>
      <c r="M119" s="208">
        <f>IFERROR(VLOOKUP($I119,'Institution Evaluation'!$A$55:$F$345,6,0),IFERROR(VLOOKUP($I119,'Privacy Analyst Evaluation'!$A$46:$F$120,6,0),""))&amp;""</f>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ht="17" x14ac:dyDescent="0.2">
      <c r="A120" s="208" t="str">
        <f>IFERROR(IF($A119+1&gt;'(backend scoring)'!$T$335,"",$A119+1),"")</f>
      </c>
      <c r="B120" s="208">
        <f>_xlfn.XLOOKUP($A120,'(backend scoring)'!$V$2:$V$333,'(backend scoring)'!$A$2:$A$333,"")</f>
      </c>
      <c r="C120" s="208">
        <f>IFERROR(VLOOKUP($B120,'Institution Evaluation'!$A$55:$F$345,2,0),IFERROR(VLOOKUP($B120,'Privacy Analyst Evaluation'!$A$46:$F$120,2,0),""))&amp;""</f>
      </c>
      <c r="D120" s="208">
        <f>IFERROR(VLOOKUP($B120,'Institution Evaluation'!$A$55:$F$345,3,0),IFERROR(VLOOKUP($B120,'Privacy Analyst Evaluation'!$A$46:$F$120,3,0),""))&amp;""</f>
      </c>
      <c r="E120" s="208">
        <f>IFERROR(VLOOKUP($B120,'Institution Evaluation'!$A$55:$F$345,4,0),IFERROR(VLOOKUP($B120,'Privacy Analyst Evaluation'!$A$46:$F$120,4,0),""))&amp;""</f>
      </c>
      <c r="F120" s="208">
        <f>IFERROR(VLOOKUP($B120,'Institution Evaluation'!$A$55:$F$345,6,0),IFERROR(VLOOKUP($B120,'Privacy Analyst Evaluation'!$A$46:$F$120,6,0),""))&amp;""</f>
      </c>
      <c r="G120" s="209"/>
      <c r="H120" s="208" t="str">
        <f>IFERROR(IF($H119+1&gt;'(backend scoring)'!$Q$335,"",$H119+1),"")</f>
      </c>
      <c r="I120" s="208">
        <f>_xlfn.XLOOKUP($H120,'(backend scoring)'!$S$2:$S$333,'(backend scoring)'!$A$2:$A$333,"")</f>
      </c>
      <c r="J120" s="208">
        <f>IFERROR(VLOOKUP($I120,'Institution Evaluation'!$A$55:$F$345,2,0),IFERROR(VLOOKUP($I120,'Privacy Analyst Evaluation'!$A$46:$F$120,2,0),""))</f>
      </c>
      <c r="K120" s="208">
        <f>IFERROR(VLOOKUP($I120,'Institution Evaluation'!$A$55:$F$345,3,0),IFERROR(VLOOKUP($I120,'Privacy Analyst Evaluation'!$A$46:$F$120,3,0),""))&amp;""</f>
      </c>
      <c r="L120" s="208">
        <f>IFERROR(VLOOKUP($I120,'Institution Evaluation'!$A$55:$F$345,4,0),IFERROR(VLOOKUP($I120,'Privacy Analyst Evaluation'!$A$46:$F$120,4,0),""))&amp;""</f>
      </c>
      <c r="M120" s="208">
        <f>IFERROR(VLOOKUP($I120,'Institution Evaluation'!$A$55:$F$345,6,0),IFERROR(VLOOKUP($I120,'Privacy Analyst Evaluation'!$A$46:$F$120,6,0),""))&amp;""</f>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ht="17" x14ac:dyDescent="0.2">
      <c r="A121" s="208" t="str">
        <f>IFERROR(IF($A120+1&gt;'(backend scoring)'!$T$335,"",$A120+1),"")</f>
      </c>
      <c r="B121" s="208">
        <f>_xlfn.XLOOKUP($A121,'(backend scoring)'!$V$2:$V$333,'(backend scoring)'!$A$2:$A$333,"")</f>
      </c>
      <c r="C121" s="208">
        <f>IFERROR(VLOOKUP($B121,'Institution Evaluation'!$A$55:$F$345,2,0),IFERROR(VLOOKUP($B121,'Privacy Analyst Evaluation'!$A$46:$F$120,2,0),""))&amp;""</f>
      </c>
      <c r="D121" s="208">
        <f>IFERROR(VLOOKUP($B121,'Institution Evaluation'!$A$55:$F$345,3,0),IFERROR(VLOOKUP($B121,'Privacy Analyst Evaluation'!$A$46:$F$120,3,0),""))&amp;""</f>
      </c>
      <c r="E121" s="208">
        <f>IFERROR(VLOOKUP($B121,'Institution Evaluation'!$A$55:$F$345,4,0),IFERROR(VLOOKUP($B121,'Privacy Analyst Evaluation'!$A$46:$F$120,4,0),""))&amp;""</f>
      </c>
      <c r="F121" s="208">
        <f>IFERROR(VLOOKUP($B121,'Institution Evaluation'!$A$55:$F$345,6,0),IFERROR(VLOOKUP($B121,'Privacy Analyst Evaluation'!$A$46:$F$120,6,0),""))&amp;""</f>
      </c>
      <c r="G121" s="209"/>
      <c r="H121" s="208" t="str">
        <f>IFERROR(IF($H120+1&gt;'(backend scoring)'!$Q$335,"",$H120+1),"")</f>
      </c>
      <c r="I121" s="208">
        <f>_xlfn.XLOOKUP($H121,'(backend scoring)'!$S$2:$S$333,'(backend scoring)'!$A$2:$A$333,"")</f>
      </c>
      <c r="J121" s="208">
        <f>IFERROR(VLOOKUP($I121,'Institution Evaluation'!$A$55:$F$345,2,0),IFERROR(VLOOKUP($I121,'Privacy Analyst Evaluation'!$A$46:$F$120,2,0),""))</f>
      </c>
      <c r="K121" s="208">
        <f>IFERROR(VLOOKUP($I121,'Institution Evaluation'!$A$55:$F$345,3,0),IFERROR(VLOOKUP($I121,'Privacy Analyst Evaluation'!$A$46:$F$120,3,0),""))&amp;""</f>
      </c>
      <c r="L121" s="208">
        <f>IFERROR(VLOOKUP($I121,'Institution Evaluation'!$A$55:$F$345,4,0),IFERROR(VLOOKUP($I121,'Privacy Analyst Evaluation'!$A$46:$F$120,4,0),""))&amp;""</f>
      </c>
      <c r="M121" s="208">
        <f>IFERROR(VLOOKUP($I121,'Institution Evaluation'!$A$55:$F$345,6,0),IFERROR(VLOOKUP($I121,'Privacy Analyst Evaluation'!$A$46:$F$120,6,0),""))&amp;""</f>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ht="17" x14ac:dyDescent="0.2">
      <c r="A122" s="208" t="str">
        <f>IFERROR(IF($A121+1&gt;'(backend scoring)'!$T$335,"",$A121+1),"")</f>
      </c>
      <c r="B122" s="208">
        <f>_xlfn.XLOOKUP($A122,'(backend scoring)'!$V$2:$V$333,'(backend scoring)'!$A$2:$A$333,"")</f>
      </c>
      <c r="C122" s="208">
        <f>IFERROR(VLOOKUP($B122,'Institution Evaluation'!$A$55:$F$345,2,0),IFERROR(VLOOKUP($B122,'Privacy Analyst Evaluation'!$A$46:$F$120,2,0),""))&amp;""</f>
      </c>
      <c r="D122" s="208">
        <f>IFERROR(VLOOKUP($B122,'Institution Evaluation'!$A$55:$F$345,3,0),IFERROR(VLOOKUP($B122,'Privacy Analyst Evaluation'!$A$46:$F$120,3,0),""))&amp;""</f>
      </c>
      <c r="E122" s="208">
        <f>IFERROR(VLOOKUP($B122,'Institution Evaluation'!$A$55:$F$345,4,0),IFERROR(VLOOKUP($B122,'Privacy Analyst Evaluation'!$A$46:$F$120,4,0),""))&amp;""</f>
      </c>
      <c r="F122" s="208">
        <f>IFERROR(VLOOKUP($B122,'Institution Evaluation'!$A$55:$F$345,6,0),IFERROR(VLOOKUP($B122,'Privacy Analyst Evaluation'!$A$46:$F$120,6,0),""))&amp;""</f>
      </c>
      <c r="G122" s="209"/>
      <c r="H122" s="208" t="str">
        <f>IFERROR(IF($H121+1&gt;'(backend scoring)'!$Q$335,"",$H121+1),"")</f>
      </c>
      <c r="I122" s="208">
        <f>_xlfn.XLOOKUP($H122,'(backend scoring)'!$S$2:$S$333,'(backend scoring)'!$A$2:$A$333,"")</f>
      </c>
      <c r="J122" s="208">
        <f>IFERROR(VLOOKUP($I122,'Institution Evaluation'!$A$55:$F$345,2,0),IFERROR(VLOOKUP($I122,'Privacy Analyst Evaluation'!$A$46:$F$120,2,0),""))</f>
      </c>
      <c r="K122" s="208">
        <f>IFERROR(VLOOKUP($I122,'Institution Evaluation'!$A$55:$F$345,3,0),IFERROR(VLOOKUP($I122,'Privacy Analyst Evaluation'!$A$46:$F$120,3,0),""))&amp;""</f>
      </c>
      <c r="L122" s="208">
        <f>IFERROR(VLOOKUP($I122,'Institution Evaluation'!$A$55:$F$345,4,0),IFERROR(VLOOKUP($I122,'Privacy Analyst Evaluation'!$A$46:$F$120,4,0),""))&amp;""</f>
      </c>
      <c r="M122" s="208">
        <f>IFERROR(VLOOKUP($I122,'Institution Evaluation'!$A$55:$F$345,6,0),IFERROR(VLOOKUP($I122,'Privacy Analyst Evaluation'!$A$46:$F$120,6,0),""))&amp;""</f>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ht="17" x14ac:dyDescent="0.2">
      <c r="A123" s="208" t="str">
        <f>IFERROR(IF($A122+1&gt;'(backend scoring)'!$T$335,"",$A122+1),"")</f>
      </c>
      <c r="B123" s="208">
        <f>_xlfn.XLOOKUP($A123,'(backend scoring)'!$V$2:$V$333,'(backend scoring)'!$A$2:$A$333,"")</f>
      </c>
      <c r="C123" s="208">
        <f>IFERROR(VLOOKUP($B123,'Institution Evaluation'!$A$55:$F$345,2,0),IFERROR(VLOOKUP($B123,'Privacy Analyst Evaluation'!$A$46:$F$120,2,0),""))&amp;""</f>
      </c>
      <c r="D123" s="208">
        <f>IFERROR(VLOOKUP($B123,'Institution Evaluation'!$A$55:$F$345,3,0),IFERROR(VLOOKUP($B123,'Privacy Analyst Evaluation'!$A$46:$F$120,3,0),""))&amp;""</f>
      </c>
      <c r="E123" s="208">
        <f>IFERROR(VLOOKUP($B123,'Institution Evaluation'!$A$55:$F$345,4,0),IFERROR(VLOOKUP($B123,'Privacy Analyst Evaluation'!$A$46:$F$120,4,0),""))&amp;""</f>
      </c>
      <c r="F123" s="208">
        <f>IFERROR(VLOOKUP($B123,'Institution Evaluation'!$A$55:$F$345,6,0),IFERROR(VLOOKUP($B123,'Privacy Analyst Evaluation'!$A$46:$F$120,6,0),""))&amp;""</f>
      </c>
      <c r="G123" s="209"/>
      <c r="H123" s="208" t="str">
        <f>IFERROR(IF($H122+1&gt;'(backend scoring)'!$Q$335,"",$H122+1),"")</f>
      </c>
      <c r="I123" s="208">
        <f>_xlfn.XLOOKUP($H123,'(backend scoring)'!$S$2:$S$333,'(backend scoring)'!$A$2:$A$333,"")</f>
      </c>
      <c r="J123" s="208">
        <f>IFERROR(VLOOKUP($I123,'Institution Evaluation'!$A$55:$F$345,2,0),IFERROR(VLOOKUP($I123,'Privacy Analyst Evaluation'!$A$46:$F$120,2,0),""))</f>
      </c>
      <c r="K123" s="208">
        <f>IFERROR(VLOOKUP($I123,'Institution Evaluation'!$A$55:$F$345,3,0),IFERROR(VLOOKUP($I123,'Privacy Analyst Evaluation'!$A$46:$F$120,3,0),""))&amp;""</f>
      </c>
      <c r="L123" s="208">
        <f>IFERROR(VLOOKUP($I123,'Institution Evaluation'!$A$55:$F$345,4,0),IFERROR(VLOOKUP($I123,'Privacy Analyst Evaluation'!$A$46:$F$120,4,0),""))&amp;""</f>
      </c>
      <c r="M123" s="208">
        <f>IFERROR(VLOOKUP($I123,'Institution Evaluation'!$A$55:$F$345,6,0),IFERROR(VLOOKUP($I123,'Privacy Analyst Evaluation'!$A$46:$F$120,6,0),""))&amp;""</f>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ht="17" x14ac:dyDescent="0.2">
      <c r="A124" s="208" t="str">
        <f>IFERROR(IF($A123+1&gt;'(backend scoring)'!$T$335,"",$A123+1),"")</f>
      </c>
      <c r="B124" s="208">
        <f>_xlfn.XLOOKUP($A124,'(backend scoring)'!$V$2:$V$333,'(backend scoring)'!$A$2:$A$333,"")</f>
      </c>
      <c r="C124" s="208">
        <f>IFERROR(VLOOKUP($B124,'Institution Evaluation'!$A$55:$F$345,2,0),IFERROR(VLOOKUP($B124,'Privacy Analyst Evaluation'!$A$46:$F$120,2,0),""))&amp;""</f>
      </c>
      <c r="D124" s="208">
        <f>IFERROR(VLOOKUP($B124,'Institution Evaluation'!$A$55:$F$345,3,0),IFERROR(VLOOKUP($B124,'Privacy Analyst Evaluation'!$A$46:$F$120,3,0),""))&amp;""</f>
      </c>
      <c r="E124" s="208">
        <f>IFERROR(VLOOKUP($B124,'Institution Evaluation'!$A$55:$F$345,4,0),IFERROR(VLOOKUP($B124,'Privacy Analyst Evaluation'!$A$46:$F$120,4,0),""))&amp;""</f>
      </c>
      <c r="F124" s="208">
        <f>IFERROR(VLOOKUP($B124,'Institution Evaluation'!$A$55:$F$345,6,0),IFERROR(VLOOKUP($B124,'Privacy Analyst Evaluation'!$A$46:$F$120,6,0),""))&amp;""</f>
      </c>
      <c r="G124" s="209"/>
      <c r="H124" s="208" t="str">
        <f>IFERROR(IF($H123+1&gt;'(backend scoring)'!$Q$335,"",$H123+1),"")</f>
      </c>
      <c r="I124" s="208">
        <f>_xlfn.XLOOKUP($H124,'(backend scoring)'!$S$2:$S$333,'(backend scoring)'!$A$2:$A$333,"")</f>
      </c>
      <c r="J124" s="208">
        <f>IFERROR(VLOOKUP($I124,'Institution Evaluation'!$A$55:$F$345,2,0),IFERROR(VLOOKUP($I124,'Privacy Analyst Evaluation'!$A$46:$F$120,2,0),""))</f>
      </c>
      <c r="K124" s="208">
        <f>IFERROR(VLOOKUP($I124,'Institution Evaluation'!$A$55:$F$345,3,0),IFERROR(VLOOKUP($I124,'Privacy Analyst Evaluation'!$A$46:$F$120,3,0),""))&amp;""</f>
      </c>
      <c r="L124" s="208">
        <f>IFERROR(VLOOKUP($I124,'Institution Evaluation'!$A$55:$F$345,4,0),IFERROR(VLOOKUP($I124,'Privacy Analyst Evaluation'!$A$46:$F$120,4,0),""))&amp;""</f>
      </c>
      <c r="M124" s="208">
        <f>IFERROR(VLOOKUP($I124,'Institution Evaluation'!$A$55:$F$345,6,0),IFERROR(VLOOKUP($I124,'Privacy Analyst Evaluation'!$A$46:$F$120,6,0),""))&amp;""</f>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ht="17" x14ac:dyDescent="0.2">
      <c r="A125" s="208" t="str">
        <f>IFERROR(IF($A124+1&gt;'(backend scoring)'!$T$335,"",$A124+1),"")</f>
      </c>
      <c r="B125" s="208">
        <f>_xlfn.XLOOKUP($A125,'(backend scoring)'!$V$2:$V$333,'(backend scoring)'!$A$2:$A$333,"")</f>
      </c>
      <c r="C125" s="208">
        <f>IFERROR(VLOOKUP($B125,'Institution Evaluation'!$A$55:$F$345,2,0),IFERROR(VLOOKUP($B125,'Privacy Analyst Evaluation'!$A$46:$F$120,2,0),""))&amp;""</f>
      </c>
      <c r="D125" s="208">
        <f>IFERROR(VLOOKUP($B125,'Institution Evaluation'!$A$55:$F$345,3,0),IFERROR(VLOOKUP($B125,'Privacy Analyst Evaluation'!$A$46:$F$120,3,0),""))&amp;""</f>
      </c>
      <c r="E125" s="208">
        <f>IFERROR(VLOOKUP($B125,'Institution Evaluation'!$A$55:$F$345,4,0),IFERROR(VLOOKUP($B125,'Privacy Analyst Evaluation'!$A$46:$F$120,4,0),""))&amp;""</f>
      </c>
      <c r="F125" s="208">
        <f>IFERROR(VLOOKUP($B125,'Institution Evaluation'!$A$55:$F$345,6,0),IFERROR(VLOOKUP($B125,'Privacy Analyst Evaluation'!$A$46:$F$120,6,0),""))&amp;""</f>
      </c>
      <c r="G125" s="209"/>
      <c r="H125" s="208" t="str">
        <f>IFERROR(IF($H124+1&gt;'(backend scoring)'!$Q$335,"",$H124+1),"")</f>
      </c>
      <c r="I125" s="208">
        <f>_xlfn.XLOOKUP($H125,'(backend scoring)'!$S$2:$S$333,'(backend scoring)'!$A$2:$A$333,"")</f>
      </c>
      <c r="J125" s="208">
        <f>IFERROR(VLOOKUP($I125,'Institution Evaluation'!$A$55:$F$345,2,0),IFERROR(VLOOKUP($I125,'Privacy Analyst Evaluation'!$A$46:$F$120,2,0),""))</f>
      </c>
      <c r="K125" s="208">
        <f>IFERROR(VLOOKUP($I125,'Institution Evaluation'!$A$55:$F$345,3,0),IFERROR(VLOOKUP($I125,'Privacy Analyst Evaluation'!$A$46:$F$120,3,0),""))&amp;""</f>
      </c>
      <c r="L125" s="208">
        <f>IFERROR(VLOOKUP($I125,'Institution Evaluation'!$A$55:$F$345,4,0),IFERROR(VLOOKUP($I125,'Privacy Analyst Evaluation'!$A$46:$F$120,4,0),""))&amp;""</f>
      </c>
      <c r="M125" s="208">
        <f>IFERROR(VLOOKUP($I125,'Institution Evaluation'!$A$55:$F$345,6,0),IFERROR(VLOOKUP($I125,'Privacy Analyst Evaluation'!$A$46:$F$120,6,0),""))&amp;""</f>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ht="17" x14ac:dyDescent="0.2">
      <c r="A126" s="208" t="str">
        <f>IFERROR(IF($A125+1&gt;'(backend scoring)'!$T$335,"",$A125+1),"")</f>
      </c>
      <c r="B126" s="208">
        <f>_xlfn.XLOOKUP($A126,'(backend scoring)'!$V$2:$V$333,'(backend scoring)'!$A$2:$A$333,"")</f>
      </c>
      <c r="C126" s="208">
        <f>IFERROR(VLOOKUP($B126,'Institution Evaluation'!$A$55:$F$345,2,0),IFERROR(VLOOKUP($B126,'Privacy Analyst Evaluation'!$A$46:$F$120,2,0),""))&amp;""</f>
      </c>
      <c r="D126" s="208">
        <f>IFERROR(VLOOKUP($B126,'Institution Evaluation'!$A$55:$F$345,3,0),IFERROR(VLOOKUP($B126,'Privacy Analyst Evaluation'!$A$46:$F$120,3,0),""))&amp;""</f>
      </c>
      <c r="E126" s="208">
        <f>IFERROR(VLOOKUP($B126,'Institution Evaluation'!$A$55:$F$345,4,0),IFERROR(VLOOKUP($B126,'Privacy Analyst Evaluation'!$A$46:$F$120,4,0),""))&amp;""</f>
      </c>
      <c r="F126" s="208">
        <f>IFERROR(VLOOKUP($B126,'Institution Evaluation'!$A$55:$F$345,6,0),IFERROR(VLOOKUP($B126,'Privacy Analyst Evaluation'!$A$46:$F$120,6,0),""))&amp;""</f>
      </c>
      <c r="G126" s="209"/>
      <c r="H126" s="208" t="str">
        <f>IFERROR(IF($H125+1&gt;'(backend scoring)'!$Q$335,"",$H125+1),"")</f>
      </c>
      <c r="I126" s="208">
        <f>_xlfn.XLOOKUP($H126,'(backend scoring)'!$S$2:$S$333,'(backend scoring)'!$A$2:$A$333,"")</f>
      </c>
      <c r="J126" s="208">
        <f>IFERROR(VLOOKUP($I126,'Institution Evaluation'!$A$55:$F$345,2,0),IFERROR(VLOOKUP($I126,'Privacy Analyst Evaluation'!$A$46:$F$120,2,0),""))</f>
      </c>
      <c r="K126" s="208">
        <f>IFERROR(VLOOKUP($I126,'Institution Evaluation'!$A$55:$F$345,3,0),IFERROR(VLOOKUP($I126,'Privacy Analyst Evaluation'!$A$46:$F$120,3,0),""))&amp;""</f>
      </c>
      <c r="L126" s="208">
        <f>IFERROR(VLOOKUP($I126,'Institution Evaluation'!$A$55:$F$345,4,0),IFERROR(VLOOKUP($I126,'Privacy Analyst Evaluation'!$A$46:$F$120,4,0),""))&amp;""</f>
      </c>
      <c r="M126" s="208">
        <f>IFERROR(VLOOKUP($I126,'Institution Evaluation'!$A$55:$F$345,6,0),IFERROR(VLOOKUP($I126,'Privacy Analyst Evaluation'!$A$46:$F$120,6,0),""))&amp;""</f>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ht="17" x14ac:dyDescent="0.2">
      <c r="A127" s="208" t="str">
        <f>IFERROR(IF($A126+1&gt;'(backend scoring)'!$T$335,"",$A126+1),"")</f>
      </c>
      <c r="B127" s="208">
        <f>_xlfn.XLOOKUP($A127,'(backend scoring)'!$V$2:$V$333,'(backend scoring)'!$A$2:$A$333,"")</f>
      </c>
      <c r="C127" s="208">
        <f>IFERROR(VLOOKUP($B127,'Institution Evaluation'!$A$55:$F$345,2,0),IFERROR(VLOOKUP($B127,'Privacy Analyst Evaluation'!$A$46:$F$120,2,0),""))&amp;""</f>
      </c>
      <c r="D127" s="208">
        <f>IFERROR(VLOOKUP($B127,'Institution Evaluation'!$A$55:$F$345,3,0),IFERROR(VLOOKUP($B127,'Privacy Analyst Evaluation'!$A$46:$F$120,3,0),""))&amp;""</f>
      </c>
      <c r="E127" s="208">
        <f>IFERROR(VLOOKUP($B127,'Institution Evaluation'!$A$55:$F$345,4,0),IFERROR(VLOOKUP($B127,'Privacy Analyst Evaluation'!$A$46:$F$120,4,0),""))&amp;""</f>
      </c>
      <c r="F127" s="208">
        <f>IFERROR(VLOOKUP($B127,'Institution Evaluation'!$A$55:$F$345,6,0),IFERROR(VLOOKUP($B127,'Privacy Analyst Evaluation'!$A$46:$F$120,6,0),""))&amp;""</f>
      </c>
      <c r="G127" s="209"/>
      <c r="H127" s="208" t="str">
        <f>IFERROR(IF($H126+1&gt;'(backend scoring)'!$Q$335,"",$H126+1),"")</f>
      </c>
      <c r="I127" s="208">
        <f>_xlfn.XLOOKUP($H127,'(backend scoring)'!$S$2:$S$333,'(backend scoring)'!$A$2:$A$333,"")</f>
      </c>
      <c r="J127" s="208">
        <f>IFERROR(VLOOKUP($I127,'Institution Evaluation'!$A$55:$F$345,2,0),IFERROR(VLOOKUP($I127,'Privacy Analyst Evaluation'!$A$46:$F$120,2,0),""))</f>
      </c>
      <c r="K127" s="208">
        <f>IFERROR(VLOOKUP($I127,'Institution Evaluation'!$A$55:$F$345,3,0),IFERROR(VLOOKUP($I127,'Privacy Analyst Evaluation'!$A$46:$F$120,3,0),""))&amp;""</f>
      </c>
      <c r="L127" s="208">
        <f>IFERROR(VLOOKUP($I127,'Institution Evaluation'!$A$55:$F$345,4,0),IFERROR(VLOOKUP($I127,'Privacy Analyst Evaluation'!$A$46:$F$120,4,0),""))&amp;""</f>
      </c>
      <c r="M127" s="208">
        <f>IFERROR(VLOOKUP($I127,'Institution Evaluation'!$A$55:$F$345,6,0),IFERROR(VLOOKUP($I127,'Privacy Analyst Evaluation'!$A$46:$F$120,6,0),""))&amp;""</f>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ht="17" x14ac:dyDescent="0.2">
      <c r="A128" s="208" t="str">
        <f>IFERROR(IF($A127+1&gt;'(backend scoring)'!$T$335,"",$A127+1),"")</f>
      </c>
      <c r="B128" s="208">
        <f>_xlfn.XLOOKUP($A128,'(backend scoring)'!$V$2:$V$333,'(backend scoring)'!$A$2:$A$333,"")</f>
      </c>
      <c r="C128" s="208">
        <f>IFERROR(VLOOKUP($B128,'Institution Evaluation'!$A$55:$F$345,2,0),IFERROR(VLOOKUP($B128,'Privacy Analyst Evaluation'!$A$46:$F$120,2,0),""))&amp;""</f>
      </c>
      <c r="D128" s="208">
        <f>IFERROR(VLOOKUP($B128,'Institution Evaluation'!$A$55:$F$345,3,0),IFERROR(VLOOKUP($B128,'Privacy Analyst Evaluation'!$A$46:$F$120,3,0),""))&amp;""</f>
      </c>
      <c r="E128" s="208">
        <f>IFERROR(VLOOKUP($B128,'Institution Evaluation'!$A$55:$F$345,4,0),IFERROR(VLOOKUP($B128,'Privacy Analyst Evaluation'!$A$46:$F$120,4,0),""))&amp;""</f>
      </c>
      <c r="F128" s="208">
        <f>IFERROR(VLOOKUP($B128,'Institution Evaluation'!$A$55:$F$345,6,0),IFERROR(VLOOKUP($B128,'Privacy Analyst Evaluation'!$A$46:$F$120,6,0),""))&amp;""</f>
      </c>
      <c r="G128" s="209"/>
      <c r="H128" s="208" t="str">
        <f>IFERROR(IF($H127+1&gt;'(backend scoring)'!$Q$335,"",$H127+1),"")</f>
      </c>
      <c r="I128" s="208">
        <f>_xlfn.XLOOKUP($H128,'(backend scoring)'!$S$2:$S$333,'(backend scoring)'!$A$2:$A$333,"")</f>
      </c>
      <c r="J128" s="208">
        <f>IFERROR(VLOOKUP($I128,'Institution Evaluation'!$A$55:$F$345,2,0),IFERROR(VLOOKUP($I128,'Privacy Analyst Evaluation'!$A$46:$F$120,2,0),""))</f>
      </c>
      <c r="K128" s="208">
        <f>IFERROR(VLOOKUP($I128,'Institution Evaluation'!$A$55:$F$345,3,0),IFERROR(VLOOKUP($I128,'Privacy Analyst Evaluation'!$A$46:$F$120,3,0),""))&amp;""</f>
      </c>
      <c r="L128" s="208">
        <f>IFERROR(VLOOKUP($I128,'Institution Evaluation'!$A$55:$F$345,4,0),IFERROR(VLOOKUP($I128,'Privacy Analyst Evaluation'!$A$46:$F$120,4,0),""))&amp;""</f>
      </c>
      <c r="M128" s="208">
        <f>IFERROR(VLOOKUP($I128,'Institution Evaluation'!$A$55:$F$345,6,0),IFERROR(VLOOKUP($I128,'Privacy Analyst Evaluation'!$A$46:$F$120,6,0),""))&amp;""</f>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ht="17" x14ac:dyDescent="0.2">
      <c r="A129" s="208" t="str">
        <f>IFERROR(IF($A128+1&gt;'(backend scoring)'!$T$335,"",$A128+1),"")</f>
      </c>
      <c r="B129" s="208">
        <f>_xlfn.XLOOKUP($A129,'(backend scoring)'!$V$2:$V$333,'(backend scoring)'!$A$2:$A$333,"")</f>
      </c>
      <c r="C129" s="208">
        <f>IFERROR(VLOOKUP($B129,'Institution Evaluation'!$A$55:$F$345,2,0),IFERROR(VLOOKUP($B129,'Privacy Analyst Evaluation'!$A$46:$F$120,2,0),""))&amp;""</f>
      </c>
      <c r="D129" s="208">
        <f>IFERROR(VLOOKUP($B129,'Institution Evaluation'!$A$55:$F$345,3,0),IFERROR(VLOOKUP($B129,'Privacy Analyst Evaluation'!$A$46:$F$120,3,0),""))&amp;""</f>
      </c>
      <c r="E129" s="208">
        <f>IFERROR(VLOOKUP($B129,'Institution Evaluation'!$A$55:$F$345,4,0),IFERROR(VLOOKUP($B129,'Privacy Analyst Evaluation'!$A$46:$F$120,4,0),""))&amp;""</f>
      </c>
      <c r="F129" s="208">
        <f>IFERROR(VLOOKUP($B129,'Institution Evaluation'!$A$55:$F$345,6,0),IFERROR(VLOOKUP($B129,'Privacy Analyst Evaluation'!$A$46:$F$120,6,0),""))&amp;""</f>
      </c>
      <c r="G129" s="209"/>
      <c r="H129" s="208" t="str">
        <f>IFERROR(IF($H128+1&gt;'(backend scoring)'!$Q$335,"",$H128+1),"")</f>
      </c>
      <c r="I129" s="208">
        <f>_xlfn.XLOOKUP($H129,'(backend scoring)'!$S$2:$S$333,'(backend scoring)'!$A$2:$A$333,"")</f>
      </c>
      <c r="J129" s="208">
        <f>IFERROR(VLOOKUP($I129,'Institution Evaluation'!$A$55:$F$345,2,0),IFERROR(VLOOKUP($I129,'Privacy Analyst Evaluation'!$A$46:$F$120,2,0),""))</f>
      </c>
      <c r="K129" s="208">
        <f>IFERROR(VLOOKUP($I129,'Institution Evaluation'!$A$55:$F$345,3,0),IFERROR(VLOOKUP($I129,'Privacy Analyst Evaluation'!$A$46:$F$120,3,0),""))&amp;""</f>
      </c>
      <c r="L129" s="208">
        <f>IFERROR(VLOOKUP($I129,'Institution Evaluation'!$A$55:$F$345,4,0),IFERROR(VLOOKUP($I129,'Privacy Analyst Evaluation'!$A$46:$F$120,4,0),""))&amp;""</f>
      </c>
      <c r="M129" s="208">
        <f>IFERROR(VLOOKUP($I129,'Institution Evaluation'!$A$55:$F$345,6,0),IFERROR(VLOOKUP($I129,'Privacy Analyst Evaluation'!$A$46:$F$120,6,0),""))&amp;""</f>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ht="17" x14ac:dyDescent="0.2">
      <c r="A130" s="208" t="str">
        <f>IFERROR(IF($A129+1&gt;'(backend scoring)'!$T$335,"",$A129+1),"")</f>
      </c>
      <c r="B130" s="208">
        <f>_xlfn.XLOOKUP($A130,'(backend scoring)'!$V$2:$V$333,'(backend scoring)'!$A$2:$A$333,"")</f>
      </c>
      <c r="C130" s="208">
        <f>IFERROR(VLOOKUP($B130,'Institution Evaluation'!$A$55:$F$345,2,0),IFERROR(VLOOKUP($B130,'Privacy Analyst Evaluation'!$A$46:$F$120,2,0),""))&amp;""</f>
      </c>
      <c r="D130" s="208">
        <f>IFERROR(VLOOKUP($B130,'Institution Evaluation'!$A$55:$F$345,3,0),IFERROR(VLOOKUP($B130,'Privacy Analyst Evaluation'!$A$46:$F$120,3,0),""))&amp;""</f>
      </c>
      <c r="E130" s="208">
        <f>IFERROR(VLOOKUP($B130,'Institution Evaluation'!$A$55:$F$345,4,0),IFERROR(VLOOKUP($B130,'Privacy Analyst Evaluation'!$A$46:$F$120,4,0),""))&amp;""</f>
      </c>
      <c r="F130" s="208">
        <f>IFERROR(VLOOKUP($B130,'Institution Evaluation'!$A$55:$F$345,6,0),IFERROR(VLOOKUP($B130,'Privacy Analyst Evaluation'!$A$46:$F$120,6,0),""))&amp;""</f>
      </c>
      <c r="G130" s="209"/>
      <c r="H130" s="208" t="str">
        <f>IFERROR(IF($H129+1&gt;'(backend scoring)'!$Q$335,"",$H129+1),"")</f>
      </c>
      <c r="I130" s="208">
        <f>_xlfn.XLOOKUP($H130,'(backend scoring)'!$S$2:$S$333,'(backend scoring)'!$A$2:$A$333,"")</f>
      </c>
      <c r="J130" s="208">
        <f>IFERROR(VLOOKUP($I130,'Institution Evaluation'!$A$55:$F$345,2,0),IFERROR(VLOOKUP($I130,'Privacy Analyst Evaluation'!$A$46:$F$120,2,0),""))</f>
      </c>
      <c r="K130" s="208">
        <f>IFERROR(VLOOKUP($I130,'Institution Evaluation'!$A$55:$F$345,3,0),IFERROR(VLOOKUP($I130,'Privacy Analyst Evaluation'!$A$46:$F$120,3,0),""))&amp;""</f>
      </c>
      <c r="L130" s="208">
        <f>IFERROR(VLOOKUP($I130,'Institution Evaluation'!$A$55:$F$345,4,0),IFERROR(VLOOKUP($I130,'Privacy Analyst Evaluation'!$A$46:$F$120,4,0),""))&amp;""</f>
      </c>
      <c r="M130" s="208">
        <f>IFERROR(VLOOKUP($I130,'Institution Evaluation'!$A$55:$F$345,6,0),IFERROR(VLOOKUP($I130,'Privacy Analyst Evaluation'!$A$46:$F$120,6,0),""))&amp;""</f>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ht="17" x14ac:dyDescent="0.2">
      <c r="A131" s="208" t="str">
        <f>IFERROR(IF($A130+1&gt;'(backend scoring)'!$T$335,"",$A130+1),"")</f>
      </c>
      <c r="B131" s="208">
        <f>_xlfn.XLOOKUP($A131,'(backend scoring)'!$V$2:$V$333,'(backend scoring)'!$A$2:$A$333,"")</f>
      </c>
      <c r="C131" s="208">
        <f>IFERROR(VLOOKUP($B131,'Institution Evaluation'!$A$55:$F$345,2,0),IFERROR(VLOOKUP($B131,'Privacy Analyst Evaluation'!$A$46:$F$120,2,0),""))&amp;""</f>
      </c>
      <c r="D131" s="208">
        <f>IFERROR(VLOOKUP($B131,'Institution Evaluation'!$A$55:$F$345,3,0),IFERROR(VLOOKUP($B131,'Privacy Analyst Evaluation'!$A$46:$F$120,3,0),""))&amp;""</f>
      </c>
      <c r="E131" s="208">
        <f>IFERROR(VLOOKUP($B131,'Institution Evaluation'!$A$55:$F$345,4,0),IFERROR(VLOOKUP($B131,'Privacy Analyst Evaluation'!$A$46:$F$120,4,0),""))&amp;""</f>
      </c>
      <c r="F131" s="208">
        <f>IFERROR(VLOOKUP($B131,'Institution Evaluation'!$A$55:$F$345,6,0),IFERROR(VLOOKUP($B131,'Privacy Analyst Evaluation'!$A$46:$F$120,6,0),""))&amp;""</f>
      </c>
      <c r="G131" s="209"/>
      <c r="H131" s="208" t="str">
        <f>IFERROR(IF($H130+1&gt;'(backend scoring)'!$Q$335,"",$H130+1),"")</f>
      </c>
      <c r="I131" s="208">
        <f>_xlfn.XLOOKUP($H131,'(backend scoring)'!$S$2:$S$333,'(backend scoring)'!$A$2:$A$333,"")</f>
      </c>
      <c r="J131" s="208">
        <f>IFERROR(VLOOKUP($I131,'Institution Evaluation'!$A$55:$F$345,2,0),IFERROR(VLOOKUP($I131,'Privacy Analyst Evaluation'!$A$46:$F$120,2,0),""))</f>
      </c>
      <c r="K131" s="208">
        <f>IFERROR(VLOOKUP($I131,'Institution Evaluation'!$A$55:$F$345,3,0),IFERROR(VLOOKUP($I131,'Privacy Analyst Evaluation'!$A$46:$F$120,3,0),""))&amp;""</f>
      </c>
      <c r="L131" s="208">
        <f>IFERROR(VLOOKUP($I131,'Institution Evaluation'!$A$55:$F$345,4,0),IFERROR(VLOOKUP($I131,'Privacy Analyst Evaluation'!$A$46:$F$120,4,0),""))&amp;""</f>
      </c>
      <c r="M131" s="208">
        <f>IFERROR(VLOOKUP($I131,'Institution Evaluation'!$A$55:$F$345,6,0),IFERROR(VLOOKUP($I131,'Privacy Analyst Evaluation'!$A$46:$F$120,6,0),""))&amp;""</f>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ht="17" x14ac:dyDescent="0.2">
      <c r="A132" s="208" t="str">
        <f>IFERROR(IF($A131+1&gt;'(backend scoring)'!$T$335,"",$A131+1),"")</f>
      </c>
      <c r="B132" s="208">
        <f>_xlfn.XLOOKUP($A132,'(backend scoring)'!$V$2:$V$333,'(backend scoring)'!$A$2:$A$333,"")</f>
      </c>
      <c r="C132" s="208">
        <f>IFERROR(VLOOKUP($B132,'Institution Evaluation'!$A$55:$F$345,2,0),IFERROR(VLOOKUP($B132,'Privacy Analyst Evaluation'!$A$46:$F$120,2,0),""))&amp;""</f>
      </c>
      <c r="D132" s="208">
        <f>IFERROR(VLOOKUP($B132,'Institution Evaluation'!$A$55:$F$345,3,0),IFERROR(VLOOKUP($B132,'Privacy Analyst Evaluation'!$A$46:$F$120,3,0),""))&amp;""</f>
      </c>
      <c r="E132" s="208">
        <f>IFERROR(VLOOKUP($B132,'Institution Evaluation'!$A$55:$F$345,4,0),IFERROR(VLOOKUP($B132,'Privacy Analyst Evaluation'!$A$46:$F$120,4,0),""))&amp;""</f>
      </c>
      <c r="F132" s="208">
        <f>IFERROR(VLOOKUP($B132,'Institution Evaluation'!$A$55:$F$345,6,0),IFERROR(VLOOKUP($B132,'Privacy Analyst Evaluation'!$A$46:$F$120,6,0),""))&amp;""</f>
      </c>
      <c r="G132" s="209"/>
      <c r="H132" s="208" t="str">
        <f>IFERROR(IF($H131+1&gt;'(backend scoring)'!$Q$335,"",$H131+1),"")</f>
      </c>
      <c r="I132" s="208">
        <f>_xlfn.XLOOKUP($H132,'(backend scoring)'!$S$2:$S$333,'(backend scoring)'!$A$2:$A$333,"")</f>
      </c>
      <c r="J132" s="208">
        <f>IFERROR(VLOOKUP($I132,'Institution Evaluation'!$A$55:$F$345,2,0),IFERROR(VLOOKUP($I132,'Privacy Analyst Evaluation'!$A$46:$F$120,2,0),""))</f>
      </c>
      <c r="K132" s="208">
        <f>IFERROR(VLOOKUP($I132,'Institution Evaluation'!$A$55:$F$345,3,0),IFERROR(VLOOKUP($I132,'Privacy Analyst Evaluation'!$A$46:$F$120,3,0),""))&amp;""</f>
      </c>
      <c r="L132" s="208">
        <f>IFERROR(VLOOKUP($I132,'Institution Evaluation'!$A$55:$F$345,4,0),IFERROR(VLOOKUP($I132,'Privacy Analyst Evaluation'!$A$46:$F$120,4,0),""))&amp;""</f>
      </c>
      <c r="M132" s="208">
        <f>IFERROR(VLOOKUP($I132,'Institution Evaluation'!$A$55:$F$345,6,0),IFERROR(VLOOKUP($I132,'Privacy Analyst Evaluation'!$A$46:$F$120,6,0),""))&amp;""</f>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ht="17" x14ac:dyDescent="0.2">
      <c r="A133" s="208" t="str">
        <f>IFERROR(IF($A132+1&gt;'(backend scoring)'!$T$335,"",$A132+1),"")</f>
      </c>
      <c r="B133" s="208">
        <f>_xlfn.XLOOKUP($A133,'(backend scoring)'!$V$2:$V$333,'(backend scoring)'!$A$2:$A$333,"")</f>
      </c>
      <c r="C133" s="208">
        <f>IFERROR(VLOOKUP($B133,'Institution Evaluation'!$A$55:$F$345,2,0),IFERROR(VLOOKUP($B133,'Privacy Analyst Evaluation'!$A$46:$F$120,2,0),""))&amp;""</f>
      </c>
      <c r="D133" s="208">
        <f>IFERROR(VLOOKUP($B133,'Institution Evaluation'!$A$55:$F$345,3,0),IFERROR(VLOOKUP($B133,'Privacy Analyst Evaluation'!$A$46:$F$120,3,0),""))&amp;""</f>
      </c>
      <c r="E133" s="208">
        <f>IFERROR(VLOOKUP($B133,'Institution Evaluation'!$A$55:$F$345,4,0),IFERROR(VLOOKUP($B133,'Privacy Analyst Evaluation'!$A$46:$F$120,4,0),""))&amp;""</f>
      </c>
      <c r="F133" s="208">
        <f>IFERROR(VLOOKUP($B133,'Institution Evaluation'!$A$55:$F$345,6,0),IFERROR(VLOOKUP($B133,'Privacy Analyst Evaluation'!$A$46:$F$120,6,0),""))&amp;""</f>
      </c>
      <c r="G133" s="209"/>
      <c r="H133" s="208" t="str">
        <f>IFERROR(IF($H132+1&gt;'(backend scoring)'!$Q$335,"",$H132+1),"")</f>
      </c>
      <c r="I133" s="208">
        <f>_xlfn.XLOOKUP($H133,'(backend scoring)'!$S$2:$S$333,'(backend scoring)'!$A$2:$A$333,"")</f>
      </c>
      <c r="J133" s="208">
        <f>IFERROR(VLOOKUP($I133,'Institution Evaluation'!$A$55:$F$345,2,0),IFERROR(VLOOKUP($I133,'Privacy Analyst Evaluation'!$A$46:$F$120,2,0),""))</f>
      </c>
      <c r="K133" s="208">
        <f>IFERROR(VLOOKUP($I133,'Institution Evaluation'!$A$55:$F$345,3,0),IFERROR(VLOOKUP($I133,'Privacy Analyst Evaluation'!$A$46:$F$120,3,0),""))&amp;""</f>
      </c>
      <c r="L133" s="208">
        <f>IFERROR(VLOOKUP($I133,'Institution Evaluation'!$A$55:$F$345,4,0),IFERROR(VLOOKUP($I133,'Privacy Analyst Evaluation'!$A$46:$F$120,4,0),""))&amp;""</f>
      </c>
      <c r="M133" s="208">
        <f>IFERROR(VLOOKUP($I133,'Institution Evaluation'!$A$55:$F$345,6,0),IFERROR(VLOOKUP($I133,'Privacy Analyst Evaluation'!$A$46:$F$120,6,0),""))&amp;""</f>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ht="17" x14ac:dyDescent="0.2">
      <c r="A134" s="208" t="str">
        <f>IFERROR(IF($A133+1&gt;'(backend scoring)'!$T$335,"",$A133+1),"")</f>
      </c>
      <c r="B134" s="208">
        <f>_xlfn.XLOOKUP($A134,'(backend scoring)'!$V$2:$V$333,'(backend scoring)'!$A$2:$A$333,"")</f>
      </c>
      <c r="C134" s="208">
        <f>IFERROR(VLOOKUP($B134,'Institution Evaluation'!$A$55:$F$345,2,0),IFERROR(VLOOKUP($B134,'Privacy Analyst Evaluation'!$A$46:$F$120,2,0),""))&amp;""</f>
      </c>
      <c r="D134" s="208">
        <f>IFERROR(VLOOKUP($B134,'Institution Evaluation'!$A$55:$F$345,3,0),IFERROR(VLOOKUP($B134,'Privacy Analyst Evaluation'!$A$46:$F$120,3,0),""))&amp;""</f>
      </c>
      <c r="E134" s="208">
        <f>IFERROR(VLOOKUP($B134,'Institution Evaluation'!$A$55:$F$345,4,0),IFERROR(VLOOKUP($B134,'Privacy Analyst Evaluation'!$A$46:$F$120,4,0),""))&amp;""</f>
      </c>
      <c r="F134" s="208">
        <f>IFERROR(VLOOKUP($B134,'Institution Evaluation'!$A$55:$F$345,6,0),IFERROR(VLOOKUP($B134,'Privacy Analyst Evaluation'!$A$46:$F$120,6,0),""))&amp;""</f>
      </c>
      <c r="G134" s="209"/>
      <c r="H134" s="208" t="str">
        <f>IFERROR(IF($H133+1&gt;'(backend scoring)'!$Q$335,"",$H133+1),"")</f>
      </c>
      <c r="I134" s="208">
        <f>_xlfn.XLOOKUP($H134,'(backend scoring)'!$S$2:$S$333,'(backend scoring)'!$A$2:$A$333,"")</f>
      </c>
      <c r="J134" s="208">
        <f>IFERROR(VLOOKUP($I134,'Institution Evaluation'!$A$55:$F$345,2,0),IFERROR(VLOOKUP($I134,'Privacy Analyst Evaluation'!$A$46:$F$120,2,0),""))</f>
      </c>
      <c r="K134" s="208">
        <f>IFERROR(VLOOKUP($I134,'Institution Evaluation'!$A$55:$F$345,3,0),IFERROR(VLOOKUP($I134,'Privacy Analyst Evaluation'!$A$46:$F$120,3,0),""))&amp;""</f>
      </c>
      <c r="L134" s="208">
        <f>IFERROR(VLOOKUP($I134,'Institution Evaluation'!$A$55:$F$345,4,0),IFERROR(VLOOKUP($I134,'Privacy Analyst Evaluation'!$A$46:$F$120,4,0),""))&amp;""</f>
      </c>
      <c r="M134" s="208">
        <f>IFERROR(VLOOKUP($I134,'Institution Evaluation'!$A$55:$F$345,6,0),IFERROR(VLOOKUP($I134,'Privacy Analyst Evaluation'!$A$46:$F$120,6,0),""))&amp;""</f>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ht="17" x14ac:dyDescent="0.2">
      <c r="A135" s="208" t="str">
        <f>IFERROR(IF($A134+1&gt;'(backend scoring)'!$T$335,"",$A134+1),"")</f>
      </c>
      <c r="B135" s="208">
        <f>_xlfn.XLOOKUP($A135,'(backend scoring)'!$V$2:$V$333,'(backend scoring)'!$A$2:$A$333,"")</f>
      </c>
      <c r="C135" s="208">
        <f>IFERROR(VLOOKUP($B135,'Institution Evaluation'!$A$55:$F$345,2,0),IFERROR(VLOOKUP($B135,'Privacy Analyst Evaluation'!$A$46:$F$120,2,0),""))&amp;""</f>
      </c>
      <c r="D135" s="208">
        <f>IFERROR(VLOOKUP($B135,'Institution Evaluation'!$A$55:$F$345,3,0),IFERROR(VLOOKUP($B135,'Privacy Analyst Evaluation'!$A$46:$F$120,3,0),""))&amp;""</f>
      </c>
      <c r="E135" s="208">
        <f>IFERROR(VLOOKUP($B135,'Institution Evaluation'!$A$55:$F$345,4,0),IFERROR(VLOOKUP($B135,'Privacy Analyst Evaluation'!$A$46:$F$120,4,0),""))&amp;""</f>
      </c>
      <c r="F135" s="208">
        <f>IFERROR(VLOOKUP($B135,'Institution Evaluation'!$A$55:$F$345,6,0),IFERROR(VLOOKUP($B135,'Privacy Analyst Evaluation'!$A$46:$F$120,6,0),""))&amp;""</f>
      </c>
      <c r="G135" s="209"/>
      <c r="H135" s="208" t="str">
        <f>IFERROR(IF($H134+1&gt;'(backend scoring)'!$Q$335,"",$H134+1),"")</f>
      </c>
      <c r="I135" s="208">
        <f>_xlfn.XLOOKUP($H135,'(backend scoring)'!$S$2:$S$333,'(backend scoring)'!$A$2:$A$333,"")</f>
      </c>
      <c r="J135" s="208">
        <f>IFERROR(VLOOKUP($I135,'Institution Evaluation'!$A$55:$F$345,2,0),IFERROR(VLOOKUP($I135,'Privacy Analyst Evaluation'!$A$46:$F$120,2,0),""))</f>
      </c>
      <c r="K135" s="208">
        <f>IFERROR(VLOOKUP($I135,'Institution Evaluation'!$A$55:$F$345,3,0),IFERROR(VLOOKUP($I135,'Privacy Analyst Evaluation'!$A$46:$F$120,3,0),""))&amp;""</f>
      </c>
      <c r="L135" s="208">
        <f>IFERROR(VLOOKUP($I135,'Institution Evaluation'!$A$55:$F$345,4,0),IFERROR(VLOOKUP($I135,'Privacy Analyst Evaluation'!$A$46:$F$120,4,0),""))&amp;""</f>
      </c>
      <c r="M135" s="208">
        <f>IFERROR(VLOOKUP($I135,'Institution Evaluation'!$A$55:$F$345,6,0),IFERROR(VLOOKUP($I135,'Privacy Analyst Evaluation'!$A$46:$F$120,6,0),""))&amp;""</f>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ht="17" x14ac:dyDescent="0.2">
      <c r="A136" s="208" t="str">
        <f>IFERROR(IF($A135+1&gt;'(backend scoring)'!$T$335,"",$A135+1),"")</f>
      </c>
      <c r="B136" s="208">
        <f>_xlfn.XLOOKUP($A136,'(backend scoring)'!$V$2:$V$333,'(backend scoring)'!$A$2:$A$333,"")</f>
      </c>
      <c r="C136" s="208">
        <f>IFERROR(VLOOKUP($B136,'Institution Evaluation'!$A$55:$F$345,2,0),IFERROR(VLOOKUP($B136,'Privacy Analyst Evaluation'!$A$46:$F$120,2,0),""))&amp;""</f>
      </c>
      <c r="D136" s="208">
        <f>IFERROR(VLOOKUP($B136,'Institution Evaluation'!$A$55:$F$345,3,0),IFERROR(VLOOKUP($B136,'Privacy Analyst Evaluation'!$A$46:$F$120,3,0),""))&amp;""</f>
      </c>
      <c r="E136" s="208">
        <f>IFERROR(VLOOKUP($B136,'Institution Evaluation'!$A$55:$F$345,4,0),IFERROR(VLOOKUP($B136,'Privacy Analyst Evaluation'!$A$46:$F$120,4,0),""))&amp;""</f>
      </c>
      <c r="F136" s="208">
        <f>IFERROR(VLOOKUP($B136,'Institution Evaluation'!$A$55:$F$345,6,0),IFERROR(VLOOKUP($B136,'Privacy Analyst Evaluation'!$A$46:$F$120,6,0),""))&amp;""</f>
      </c>
      <c r="G136" s="209"/>
      <c r="H136" s="208" t="str">
        <f>IFERROR(IF($H135+1&gt;'(backend scoring)'!$Q$335,"",$H135+1),"")</f>
      </c>
      <c r="I136" s="208">
        <f>_xlfn.XLOOKUP($H136,'(backend scoring)'!$S$2:$S$333,'(backend scoring)'!$A$2:$A$333,"")</f>
      </c>
      <c r="J136" s="208">
        <f>IFERROR(VLOOKUP($I136,'Institution Evaluation'!$A$55:$F$345,2,0),IFERROR(VLOOKUP($I136,'Privacy Analyst Evaluation'!$A$46:$F$120,2,0),""))</f>
      </c>
      <c r="K136" s="208">
        <f>IFERROR(VLOOKUP($I136,'Institution Evaluation'!$A$55:$F$345,3,0),IFERROR(VLOOKUP($I136,'Privacy Analyst Evaluation'!$A$46:$F$120,3,0),""))&amp;""</f>
      </c>
      <c r="L136" s="208">
        <f>IFERROR(VLOOKUP($I136,'Institution Evaluation'!$A$55:$F$345,4,0),IFERROR(VLOOKUP($I136,'Privacy Analyst Evaluation'!$A$46:$F$120,4,0),""))&amp;""</f>
      </c>
      <c r="M136" s="208">
        <f>IFERROR(VLOOKUP($I136,'Institution Evaluation'!$A$55:$F$345,6,0),IFERROR(VLOOKUP($I136,'Privacy Analyst Evaluation'!$A$46:$F$120,6,0),""))&amp;""</f>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ht="17" x14ac:dyDescent="0.2">
      <c r="A137" s="208" t="str">
        <f>IFERROR(IF($A136+1&gt;'(backend scoring)'!$T$335,"",$A136+1),"")</f>
      </c>
      <c r="B137" s="208">
        <f>_xlfn.XLOOKUP($A137,'(backend scoring)'!$V$2:$V$333,'(backend scoring)'!$A$2:$A$333,"")</f>
      </c>
      <c r="C137" s="208">
        <f>IFERROR(VLOOKUP($B137,'Institution Evaluation'!$A$55:$F$345,2,0),IFERROR(VLOOKUP($B137,'Privacy Analyst Evaluation'!$A$46:$F$120,2,0),""))&amp;""</f>
      </c>
      <c r="D137" s="208">
        <f>IFERROR(VLOOKUP($B137,'Institution Evaluation'!$A$55:$F$345,3,0),IFERROR(VLOOKUP($B137,'Privacy Analyst Evaluation'!$A$46:$F$120,3,0),""))&amp;""</f>
      </c>
      <c r="E137" s="208">
        <f>IFERROR(VLOOKUP($B137,'Institution Evaluation'!$A$55:$F$345,4,0),IFERROR(VLOOKUP($B137,'Privacy Analyst Evaluation'!$A$46:$F$120,4,0),""))&amp;""</f>
      </c>
      <c r="F137" s="208">
        <f>IFERROR(VLOOKUP($B137,'Institution Evaluation'!$A$55:$F$345,6,0),IFERROR(VLOOKUP($B137,'Privacy Analyst Evaluation'!$A$46:$F$120,6,0),""))&amp;""</f>
      </c>
      <c r="G137" s="209"/>
      <c r="H137" s="208" t="str">
        <f>IFERROR(IF($H136+1&gt;'(backend scoring)'!$Q$335,"",$H136+1),"")</f>
      </c>
      <c r="I137" s="208">
        <f>_xlfn.XLOOKUP($H137,'(backend scoring)'!$S$2:$S$333,'(backend scoring)'!$A$2:$A$333,"")</f>
      </c>
      <c r="J137" s="208">
        <f>IFERROR(VLOOKUP($I137,'Institution Evaluation'!$A$55:$F$345,2,0),IFERROR(VLOOKUP($I137,'Privacy Analyst Evaluation'!$A$46:$F$120,2,0),""))</f>
      </c>
      <c r="K137" s="208">
        <f>IFERROR(VLOOKUP($I137,'Institution Evaluation'!$A$55:$F$345,3,0),IFERROR(VLOOKUP($I137,'Privacy Analyst Evaluation'!$A$46:$F$120,3,0),""))&amp;""</f>
      </c>
      <c r="L137" s="208">
        <f>IFERROR(VLOOKUP($I137,'Institution Evaluation'!$A$55:$F$345,4,0),IFERROR(VLOOKUP($I137,'Privacy Analyst Evaluation'!$A$46:$F$120,4,0),""))&amp;""</f>
      </c>
      <c r="M137" s="208">
        <f>IFERROR(VLOOKUP($I137,'Institution Evaluation'!$A$55:$F$345,6,0),IFERROR(VLOOKUP($I137,'Privacy Analyst Evaluation'!$A$46:$F$120,6,0),""))&amp;""</f>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ht="17" x14ac:dyDescent="0.2">
      <c r="A138" s="208" t="str">
        <f>IFERROR(IF($A137+1&gt;'(backend scoring)'!$T$335,"",$A137+1),"")</f>
      </c>
      <c r="B138" s="208">
        <f>_xlfn.XLOOKUP($A138,'(backend scoring)'!$V$2:$V$333,'(backend scoring)'!$A$2:$A$333,"")</f>
      </c>
      <c r="C138" s="208">
        <f>IFERROR(VLOOKUP($B138,'Institution Evaluation'!$A$55:$F$345,2,0),IFERROR(VLOOKUP($B138,'Privacy Analyst Evaluation'!$A$46:$F$120,2,0),""))&amp;""</f>
      </c>
      <c r="D138" s="208">
        <f>IFERROR(VLOOKUP($B138,'Institution Evaluation'!$A$55:$F$345,3,0),IFERROR(VLOOKUP($B138,'Privacy Analyst Evaluation'!$A$46:$F$120,3,0),""))&amp;""</f>
      </c>
      <c r="E138" s="208">
        <f>IFERROR(VLOOKUP($B138,'Institution Evaluation'!$A$55:$F$345,4,0),IFERROR(VLOOKUP($B138,'Privacy Analyst Evaluation'!$A$46:$F$120,4,0),""))&amp;""</f>
      </c>
      <c r="F138" s="208">
        <f>IFERROR(VLOOKUP($B138,'Institution Evaluation'!$A$55:$F$345,6,0),IFERROR(VLOOKUP($B138,'Privacy Analyst Evaluation'!$A$46:$F$120,6,0),""))&amp;""</f>
      </c>
      <c r="G138" s="209"/>
      <c r="H138" s="208" t="str">
        <f>IFERROR(IF($H137+1&gt;'(backend scoring)'!$Q$335,"",$H137+1),"")</f>
      </c>
      <c r="I138" s="208">
        <f>_xlfn.XLOOKUP($H138,'(backend scoring)'!$S$2:$S$333,'(backend scoring)'!$A$2:$A$333,"")</f>
      </c>
      <c r="J138" s="208">
        <f>IFERROR(VLOOKUP($I138,'Institution Evaluation'!$A$55:$F$345,2,0),IFERROR(VLOOKUP($I138,'Privacy Analyst Evaluation'!$A$46:$F$120,2,0),""))</f>
      </c>
      <c r="K138" s="208">
        <f>IFERROR(VLOOKUP($I138,'Institution Evaluation'!$A$55:$F$345,3,0),IFERROR(VLOOKUP($I138,'Privacy Analyst Evaluation'!$A$46:$F$120,3,0),""))&amp;""</f>
      </c>
      <c r="L138" s="208">
        <f>IFERROR(VLOOKUP($I138,'Institution Evaluation'!$A$55:$F$345,4,0),IFERROR(VLOOKUP($I138,'Privacy Analyst Evaluation'!$A$46:$F$120,4,0),""))&amp;""</f>
      </c>
      <c r="M138" s="208">
        <f>IFERROR(VLOOKUP($I138,'Institution Evaluation'!$A$55:$F$345,6,0),IFERROR(VLOOKUP($I138,'Privacy Analyst Evaluation'!$A$46:$F$120,6,0),""))&amp;""</f>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ht="17" x14ac:dyDescent="0.2">
      <c r="A139" s="208" t="str">
        <f>IFERROR(IF($A138+1&gt;'(backend scoring)'!$T$335,"",$A138+1),"")</f>
      </c>
      <c r="B139" s="208">
        <f>_xlfn.XLOOKUP($A139,'(backend scoring)'!$V$2:$V$333,'(backend scoring)'!$A$2:$A$333,"")</f>
      </c>
      <c r="C139" s="208">
        <f>IFERROR(VLOOKUP($B139,'Institution Evaluation'!$A$55:$F$345,2,0),IFERROR(VLOOKUP($B139,'Privacy Analyst Evaluation'!$A$46:$F$120,2,0),""))&amp;""</f>
      </c>
      <c r="D139" s="208">
        <f>IFERROR(VLOOKUP($B139,'Institution Evaluation'!$A$55:$F$345,3,0),IFERROR(VLOOKUP($B139,'Privacy Analyst Evaluation'!$A$46:$F$120,3,0),""))&amp;""</f>
      </c>
      <c r="E139" s="208">
        <f>IFERROR(VLOOKUP($B139,'Institution Evaluation'!$A$55:$F$345,4,0),IFERROR(VLOOKUP($B139,'Privacy Analyst Evaluation'!$A$46:$F$120,4,0),""))&amp;""</f>
      </c>
      <c r="F139" s="208">
        <f>IFERROR(VLOOKUP($B139,'Institution Evaluation'!$A$55:$F$345,6,0),IFERROR(VLOOKUP($B139,'Privacy Analyst Evaluation'!$A$46:$F$120,6,0),""))&amp;""</f>
      </c>
      <c r="G139" s="209"/>
      <c r="H139" s="208" t="str">
        <f>IFERROR(IF($H138+1&gt;'(backend scoring)'!$Q$335,"",$H138+1),"")</f>
      </c>
      <c r="I139" s="208">
        <f>_xlfn.XLOOKUP($H139,'(backend scoring)'!$S$2:$S$333,'(backend scoring)'!$A$2:$A$333,"")</f>
      </c>
      <c r="J139" s="208">
        <f>IFERROR(VLOOKUP($I139,'Institution Evaluation'!$A$55:$F$345,2,0),IFERROR(VLOOKUP($I139,'Privacy Analyst Evaluation'!$A$46:$F$120,2,0),""))</f>
      </c>
      <c r="K139" s="208">
        <f>IFERROR(VLOOKUP($I139,'Institution Evaluation'!$A$55:$F$345,3,0),IFERROR(VLOOKUP($I139,'Privacy Analyst Evaluation'!$A$46:$F$120,3,0),""))&amp;""</f>
      </c>
      <c r="L139" s="208">
        <f>IFERROR(VLOOKUP($I139,'Institution Evaluation'!$A$55:$F$345,4,0),IFERROR(VLOOKUP($I139,'Privacy Analyst Evaluation'!$A$46:$F$120,4,0),""))&amp;""</f>
      </c>
      <c r="M139" s="208">
        <f>IFERROR(VLOOKUP($I139,'Institution Evaluation'!$A$55:$F$345,6,0),IFERROR(VLOOKUP($I139,'Privacy Analyst Evaluation'!$A$46:$F$120,6,0),""))&amp;""</f>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ht="17" x14ac:dyDescent="0.2">
      <c r="A140" s="208" t="str">
        <f>IFERROR(IF($A139+1&gt;'(backend scoring)'!$T$335,"",$A139+1),"")</f>
      </c>
      <c r="B140" s="208">
        <f>_xlfn.XLOOKUP($A140,'(backend scoring)'!$V$2:$V$333,'(backend scoring)'!$A$2:$A$333,"")</f>
      </c>
      <c r="C140" s="208">
        <f>IFERROR(VLOOKUP($B140,'Institution Evaluation'!$A$55:$F$345,2,0),IFERROR(VLOOKUP($B140,'Privacy Analyst Evaluation'!$A$46:$F$120,2,0),""))&amp;""</f>
      </c>
      <c r="D140" s="208">
        <f>IFERROR(VLOOKUP($B140,'Institution Evaluation'!$A$55:$F$345,3,0),IFERROR(VLOOKUP($B140,'Privacy Analyst Evaluation'!$A$46:$F$120,3,0),""))&amp;""</f>
      </c>
      <c r="E140" s="208">
        <f>IFERROR(VLOOKUP($B140,'Institution Evaluation'!$A$55:$F$345,4,0),IFERROR(VLOOKUP($B140,'Privacy Analyst Evaluation'!$A$46:$F$120,4,0),""))&amp;""</f>
      </c>
      <c r="F140" s="208">
        <f>IFERROR(VLOOKUP($B140,'Institution Evaluation'!$A$55:$F$345,6,0),IFERROR(VLOOKUP($B140,'Privacy Analyst Evaluation'!$A$46:$F$120,6,0),""))&amp;""</f>
      </c>
      <c r="G140" s="209"/>
      <c r="H140" s="208" t="str">
        <f>IFERROR(IF($H139+1&gt;'(backend scoring)'!$Q$335,"",$H139+1),"")</f>
      </c>
      <c r="I140" s="208">
        <f>_xlfn.XLOOKUP($H140,'(backend scoring)'!$S$2:$S$333,'(backend scoring)'!$A$2:$A$333,"")</f>
      </c>
      <c r="J140" s="208">
        <f>IFERROR(VLOOKUP($I140,'Institution Evaluation'!$A$55:$F$345,2,0),IFERROR(VLOOKUP($I140,'Privacy Analyst Evaluation'!$A$46:$F$120,2,0),""))</f>
      </c>
      <c r="K140" s="208">
        <f>IFERROR(VLOOKUP($I140,'Institution Evaluation'!$A$55:$F$345,3,0),IFERROR(VLOOKUP($I140,'Privacy Analyst Evaluation'!$A$46:$F$120,3,0),""))&amp;""</f>
      </c>
      <c r="L140" s="208">
        <f>IFERROR(VLOOKUP($I140,'Institution Evaluation'!$A$55:$F$345,4,0),IFERROR(VLOOKUP($I140,'Privacy Analyst Evaluation'!$A$46:$F$120,4,0),""))&amp;""</f>
      </c>
      <c r="M140" s="208">
        <f>IFERROR(VLOOKUP($I140,'Institution Evaluation'!$A$55:$F$345,6,0),IFERROR(VLOOKUP($I140,'Privacy Analyst Evaluation'!$A$46:$F$120,6,0),""))&amp;""</f>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ht="17" x14ac:dyDescent="0.2">
      <c r="A141" s="208" t="str">
        <f>IFERROR(IF($A140+1&gt;'(backend scoring)'!$T$335,"",$A140+1),"")</f>
      </c>
      <c r="B141" s="208">
        <f>_xlfn.XLOOKUP($A141,'(backend scoring)'!$V$2:$V$333,'(backend scoring)'!$A$2:$A$333,"")</f>
      </c>
      <c r="C141" s="208">
        <f>IFERROR(VLOOKUP($B141,'Institution Evaluation'!$A$55:$F$345,2,0),IFERROR(VLOOKUP($B141,'Privacy Analyst Evaluation'!$A$46:$F$120,2,0),""))&amp;""</f>
      </c>
      <c r="D141" s="208">
        <f>IFERROR(VLOOKUP($B141,'Institution Evaluation'!$A$55:$F$345,3,0),IFERROR(VLOOKUP($B141,'Privacy Analyst Evaluation'!$A$46:$F$120,3,0),""))&amp;""</f>
      </c>
      <c r="E141" s="208">
        <f>IFERROR(VLOOKUP($B141,'Institution Evaluation'!$A$55:$F$345,4,0),IFERROR(VLOOKUP($B141,'Privacy Analyst Evaluation'!$A$46:$F$120,4,0),""))&amp;""</f>
      </c>
      <c r="F141" s="208">
        <f>IFERROR(VLOOKUP($B141,'Institution Evaluation'!$A$55:$F$345,6,0),IFERROR(VLOOKUP($B141,'Privacy Analyst Evaluation'!$A$46:$F$120,6,0),""))&amp;""</f>
      </c>
      <c r="G141" s="209"/>
      <c r="H141" s="208" t="str">
        <f>IFERROR(IF($H140+1&gt;'(backend scoring)'!$Q$335,"",$H140+1),"")</f>
      </c>
      <c r="I141" s="208">
        <f>_xlfn.XLOOKUP($H141,'(backend scoring)'!$S$2:$S$333,'(backend scoring)'!$A$2:$A$333,"")</f>
      </c>
      <c r="J141" s="208">
        <f>IFERROR(VLOOKUP($I141,'Institution Evaluation'!$A$55:$F$345,2,0),IFERROR(VLOOKUP($I141,'Privacy Analyst Evaluation'!$A$46:$F$120,2,0),""))</f>
      </c>
      <c r="K141" s="208">
        <f>IFERROR(VLOOKUP($I141,'Institution Evaluation'!$A$55:$F$345,3,0),IFERROR(VLOOKUP($I141,'Privacy Analyst Evaluation'!$A$46:$F$120,3,0),""))&amp;""</f>
      </c>
      <c r="L141" s="208">
        <f>IFERROR(VLOOKUP($I141,'Institution Evaluation'!$A$55:$F$345,4,0),IFERROR(VLOOKUP($I141,'Privacy Analyst Evaluation'!$A$46:$F$120,4,0),""))&amp;""</f>
      </c>
      <c r="M141" s="208">
        <f>IFERROR(VLOOKUP($I141,'Institution Evaluation'!$A$55:$F$345,6,0),IFERROR(VLOOKUP($I141,'Privacy Analyst Evaluation'!$A$46:$F$120,6,0),""))&amp;""</f>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ht="17" x14ac:dyDescent="0.2">
      <c r="A142" s="208" t="str">
        <f>IFERROR(IF($A141+1&gt;'(backend scoring)'!$T$335,"",$A141+1),"")</f>
      </c>
      <c r="B142" s="208">
        <f>_xlfn.XLOOKUP($A142,'(backend scoring)'!$V$2:$V$333,'(backend scoring)'!$A$2:$A$333,"")</f>
      </c>
      <c r="C142" s="208">
        <f>IFERROR(VLOOKUP($B142,'Institution Evaluation'!$A$55:$F$345,2,0),IFERROR(VLOOKUP($B142,'Privacy Analyst Evaluation'!$A$46:$F$120,2,0),""))&amp;""</f>
      </c>
      <c r="D142" s="208">
        <f>IFERROR(VLOOKUP($B142,'Institution Evaluation'!$A$55:$F$345,3,0),IFERROR(VLOOKUP($B142,'Privacy Analyst Evaluation'!$A$46:$F$120,3,0),""))&amp;""</f>
      </c>
      <c r="E142" s="208">
        <f>IFERROR(VLOOKUP($B142,'Institution Evaluation'!$A$55:$F$345,4,0),IFERROR(VLOOKUP($B142,'Privacy Analyst Evaluation'!$A$46:$F$120,4,0),""))&amp;""</f>
      </c>
      <c r="F142" s="208">
        <f>IFERROR(VLOOKUP($B142,'Institution Evaluation'!$A$55:$F$345,6,0),IFERROR(VLOOKUP($B142,'Privacy Analyst Evaluation'!$A$46:$F$120,6,0),""))&amp;""</f>
      </c>
      <c r="G142" s="209"/>
      <c r="H142" s="208" t="str">
        <f>IFERROR(IF($H141+1&gt;'(backend scoring)'!$Q$335,"",$H141+1),"")</f>
      </c>
      <c r="I142" s="208">
        <f>_xlfn.XLOOKUP($H142,'(backend scoring)'!$S$2:$S$333,'(backend scoring)'!$A$2:$A$333,"")</f>
      </c>
      <c r="J142" s="208">
        <f>IFERROR(VLOOKUP($I142,'Institution Evaluation'!$A$55:$F$345,2,0),IFERROR(VLOOKUP($I142,'Privacy Analyst Evaluation'!$A$46:$F$120,2,0),""))</f>
      </c>
      <c r="K142" s="208">
        <f>IFERROR(VLOOKUP($I142,'Institution Evaluation'!$A$55:$F$345,3,0),IFERROR(VLOOKUP($I142,'Privacy Analyst Evaluation'!$A$46:$F$120,3,0),""))&amp;""</f>
      </c>
      <c r="L142" s="208">
        <f>IFERROR(VLOOKUP($I142,'Institution Evaluation'!$A$55:$F$345,4,0),IFERROR(VLOOKUP($I142,'Privacy Analyst Evaluation'!$A$46:$F$120,4,0),""))&amp;""</f>
      </c>
      <c r="M142" s="208">
        <f>IFERROR(VLOOKUP($I142,'Institution Evaluation'!$A$55:$F$345,6,0),IFERROR(VLOOKUP($I142,'Privacy Analyst Evaluation'!$A$46:$F$120,6,0),""))&amp;""</f>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ht="17" x14ac:dyDescent="0.2">
      <c r="A143" s="208" t="str">
        <f>IFERROR(IF($A142+1&gt;'(backend scoring)'!$T$335,"",$A142+1),"")</f>
      </c>
      <c r="B143" s="208">
        <f>_xlfn.XLOOKUP($A143,'(backend scoring)'!$V$2:$V$333,'(backend scoring)'!$A$2:$A$333,"")</f>
      </c>
      <c r="C143" s="208">
        <f>IFERROR(VLOOKUP($B143,'Institution Evaluation'!$A$55:$F$345,2,0),IFERROR(VLOOKUP($B143,'Privacy Analyst Evaluation'!$A$46:$F$120,2,0),""))&amp;""</f>
      </c>
      <c r="D143" s="208">
        <f>IFERROR(VLOOKUP($B143,'Institution Evaluation'!$A$55:$F$345,3,0),IFERROR(VLOOKUP($B143,'Privacy Analyst Evaluation'!$A$46:$F$120,3,0),""))&amp;""</f>
      </c>
      <c r="E143" s="208">
        <f>IFERROR(VLOOKUP($B143,'Institution Evaluation'!$A$55:$F$345,4,0),IFERROR(VLOOKUP($B143,'Privacy Analyst Evaluation'!$A$46:$F$120,4,0),""))&amp;""</f>
      </c>
      <c r="F143" s="208">
        <f>IFERROR(VLOOKUP($B143,'Institution Evaluation'!$A$55:$F$345,6,0),IFERROR(VLOOKUP($B143,'Privacy Analyst Evaluation'!$A$46:$F$120,6,0),""))&amp;""</f>
      </c>
      <c r="G143" s="209"/>
      <c r="H143" s="208" t="str">
        <f>IFERROR(IF($H142+1&gt;'(backend scoring)'!$Q$335,"",$H142+1),"")</f>
      </c>
      <c r="I143" s="208">
        <f>_xlfn.XLOOKUP($H143,'(backend scoring)'!$S$2:$S$333,'(backend scoring)'!$A$2:$A$333,"")</f>
      </c>
      <c r="J143" s="208">
        <f>IFERROR(VLOOKUP($I143,'Institution Evaluation'!$A$55:$F$345,2,0),IFERROR(VLOOKUP($I143,'Privacy Analyst Evaluation'!$A$46:$F$120,2,0),""))</f>
      </c>
      <c r="K143" s="208">
        <f>IFERROR(VLOOKUP($I143,'Institution Evaluation'!$A$55:$F$345,3,0),IFERROR(VLOOKUP($I143,'Privacy Analyst Evaluation'!$A$46:$F$120,3,0),""))&amp;""</f>
      </c>
      <c r="L143" s="208">
        <f>IFERROR(VLOOKUP($I143,'Institution Evaluation'!$A$55:$F$345,4,0),IFERROR(VLOOKUP($I143,'Privacy Analyst Evaluation'!$A$46:$F$120,4,0),""))&amp;""</f>
      </c>
      <c r="M143" s="208">
        <f>IFERROR(VLOOKUP($I143,'Institution Evaluation'!$A$55:$F$345,6,0),IFERROR(VLOOKUP($I143,'Privacy Analyst Evaluation'!$A$46:$F$120,6,0),""))&amp;""</f>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ht="17" x14ac:dyDescent="0.2">
      <c r="A144" s="208" t="str">
        <f>IFERROR(IF($A143+1&gt;'(backend scoring)'!$T$335,"",$A143+1),"")</f>
      </c>
      <c r="B144" s="208">
        <f>_xlfn.XLOOKUP($A144,'(backend scoring)'!$V$2:$V$333,'(backend scoring)'!$A$2:$A$333,"")</f>
      </c>
      <c r="C144" s="208">
        <f>IFERROR(VLOOKUP($B144,'Institution Evaluation'!$A$55:$F$345,2,0),IFERROR(VLOOKUP($B144,'Privacy Analyst Evaluation'!$A$46:$F$120,2,0),""))&amp;""</f>
      </c>
      <c r="D144" s="208">
        <f>IFERROR(VLOOKUP($B144,'Institution Evaluation'!$A$55:$F$345,3,0),IFERROR(VLOOKUP($B144,'Privacy Analyst Evaluation'!$A$46:$F$120,3,0),""))&amp;""</f>
      </c>
      <c r="E144" s="208">
        <f>IFERROR(VLOOKUP($B144,'Institution Evaluation'!$A$55:$F$345,4,0),IFERROR(VLOOKUP($B144,'Privacy Analyst Evaluation'!$A$46:$F$120,4,0),""))&amp;""</f>
      </c>
      <c r="F144" s="208">
        <f>IFERROR(VLOOKUP($B144,'Institution Evaluation'!$A$55:$F$345,6,0),IFERROR(VLOOKUP($B144,'Privacy Analyst Evaluation'!$A$46:$F$120,6,0),""))&amp;""</f>
      </c>
      <c r="G144" s="209"/>
      <c r="H144" s="208" t="str">
        <f>IFERROR(IF($H143+1&gt;'(backend scoring)'!$Q$335,"",$H143+1),"")</f>
      </c>
      <c r="I144" s="208">
        <f>_xlfn.XLOOKUP($H144,'(backend scoring)'!$S$2:$S$333,'(backend scoring)'!$A$2:$A$333,"")</f>
      </c>
      <c r="J144" s="208">
        <f>IFERROR(VLOOKUP($I144,'Institution Evaluation'!$A$55:$F$345,2,0),IFERROR(VLOOKUP($I144,'Privacy Analyst Evaluation'!$A$46:$F$120,2,0),""))</f>
      </c>
      <c r="K144" s="208">
        <f>IFERROR(VLOOKUP($I144,'Institution Evaluation'!$A$55:$F$345,3,0),IFERROR(VLOOKUP($I144,'Privacy Analyst Evaluation'!$A$46:$F$120,3,0),""))&amp;""</f>
      </c>
      <c r="L144" s="208">
        <f>IFERROR(VLOOKUP($I144,'Institution Evaluation'!$A$55:$F$345,4,0),IFERROR(VLOOKUP($I144,'Privacy Analyst Evaluation'!$A$46:$F$120,4,0),""))&amp;""</f>
      </c>
      <c r="M144" s="208">
        <f>IFERROR(VLOOKUP($I144,'Institution Evaluation'!$A$55:$F$345,6,0),IFERROR(VLOOKUP($I144,'Privacy Analyst Evaluation'!$A$46:$F$120,6,0),""))&amp;""</f>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ht="17" x14ac:dyDescent="0.2">
      <c r="A145" s="208" t="str">
        <f>IFERROR(IF($A144+1&gt;'(backend scoring)'!$T$335,"",$A144+1),"")</f>
      </c>
      <c r="B145" s="208">
        <f>_xlfn.XLOOKUP($A145,'(backend scoring)'!$V$2:$V$333,'(backend scoring)'!$A$2:$A$333,"")</f>
      </c>
      <c r="C145" s="208">
        <f>IFERROR(VLOOKUP($B145,'Institution Evaluation'!$A$55:$F$345,2,0),IFERROR(VLOOKUP($B145,'Privacy Analyst Evaluation'!$A$46:$F$120,2,0),""))&amp;""</f>
      </c>
      <c r="D145" s="208">
        <f>IFERROR(VLOOKUP($B145,'Institution Evaluation'!$A$55:$F$345,3,0),IFERROR(VLOOKUP($B145,'Privacy Analyst Evaluation'!$A$46:$F$120,3,0),""))&amp;""</f>
      </c>
      <c r="E145" s="208">
        <f>IFERROR(VLOOKUP($B145,'Institution Evaluation'!$A$55:$F$345,4,0),IFERROR(VLOOKUP($B145,'Privacy Analyst Evaluation'!$A$46:$F$120,4,0),""))&amp;""</f>
      </c>
      <c r="F145" s="208">
        <f>IFERROR(VLOOKUP($B145,'Institution Evaluation'!$A$55:$F$345,6,0),IFERROR(VLOOKUP($B145,'Privacy Analyst Evaluation'!$A$46:$F$120,6,0),""))&amp;""</f>
      </c>
      <c r="G145" s="209"/>
      <c r="H145" s="208" t="str">
        <f>IFERROR(IF($H144+1&gt;'(backend scoring)'!$Q$335,"",$H144+1),"")</f>
      </c>
      <c r="I145" s="208">
        <f>_xlfn.XLOOKUP($H145,'(backend scoring)'!$S$2:$S$333,'(backend scoring)'!$A$2:$A$333,"")</f>
      </c>
      <c r="J145" s="208">
        <f>IFERROR(VLOOKUP($I145,'Institution Evaluation'!$A$55:$F$345,2,0),IFERROR(VLOOKUP($I145,'Privacy Analyst Evaluation'!$A$46:$F$120,2,0),""))</f>
      </c>
      <c r="K145" s="208">
        <f>IFERROR(VLOOKUP($I145,'Institution Evaluation'!$A$55:$F$345,3,0),IFERROR(VLOOKUP($I145,'Privacy Analyst Evaluation'!$A$46:$F$120,3,0),""))&amp;""</f>
      </c>
      <c r="L145" s="208">
        <f>IFERROR(VLOOKUP($I145,'Institution Evaluation'!$A$55:$F$345,4,0),IFERROR(VLOOKUP($I145,'Privacy Analyst Evaluation'!$A$46:$F$120,4,0),""))&amp;""</f>
      </c>
      <c r="M145" s="208">
        <f>IFERROR(VLOOKUP($I145,'Institution Evaluation'!$A$55:$F$345,6,0),IFERROR(VLOOKUP($I145,'Privacy Analyst Evaluation'!$A$46:$F$120,6,0),""))&amp;""</f>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ht="17" x14ac:dyDescent="0.2">
      <c r="A146" s="208" t="str">
        <f>IFERROR(IF($A145+1&gt;'(backend scoring)'!$T$335,"",$A145+1),"")</f>
      </c>
      <c r="B146" s="208">
        <f>_xlfn.XLOOKUP($A146,'(backend scoring)'!$V$2:$V$333,'(backend scoring)'!$A$2:$A$333,"")</f>
      </c>
      <c r="C146" s="208">
        <f>IFERROR(VLOOKUP($B146,'Institution Evaluation'!$A$55:$F$345,2,0),IFERROR(VLOOKUP($B146,'Privacy Analyst Evaluation'!$A$46:$F$120,2,0),""))&amp;""</f>
      </c>
      <c r="D146" s="208">
        <f>IFERROR(VLOOKUP($B146,'Institution Evaluation'!$A$55:$F$345,3,0),IFERROR(VLOOKUP($B146,'Privacy Analyst Evaluation'!$A$46:$F$120,3,0),""))&amp;""</f>
      </c>
      <c r="E146" s="208">
        <f>IFERROR(VLOOKUP($B146,'Institution Evaluation'!$A$55:$F$345,4,0),IFERROR(VLOOKUP($B146,'Privacy Analyst Evaluation'!$A$46:$F$120,4,0),""))&amp;""</f>
      </c>
      <c r="F146" s="208">
        <f>IFERROR(VLOOKUP($B146,'Institution Evaluation'!$A$55:$F$345,6,0),IFERROR(VLOOKUP($B146,'Privacy Analyst Evaluation'!$A$46:$F$120,6,0),""))&amp;""</f>
      </c>
      <c r="G146" s="209"/>
      <c r="H146" s="208" t="str">
        <f>IFERROR(IF($H145+1&gt;'(backend scoring)'!$Q$335,"",$H145+1),"")</f>
      </c>
      <c r="I146" s="208">
        <f>_xlfn.XLOOKUP($H146,'(backend scoring)'!$S$2:$S$333,'(backend scoring)'!$A$2:$A$333,"")</f>
      </c>
      <c r="J146" s="208">
        <f>IFERROR(VLOOKUP($I146,'Institution Evaluation'!$A$55:$F$345,2,0),IFERROR(VLOOKUP($I146,'Privacy Analyst Evaluation'!$A$46:$F$120,2,0),""))</f>
      </c>
      <c r="K146" s="208">
        <f>IFERROR(VLOOKUP($I146,'Institution Evaluation'!$A$55:$F$345,3,0),IFERROR(VLOOKUP($I146,'Privacy Analyst Evaluation'!$A$46:$F$120,3,0),""))&amp;""</f>
      </c>
      <c r="L146" s="208">
        <f>IFERROR(VLOOKUP($I146,'Institution Evaluation'!$A$55:$F$345,4,0),IFERROR(VLOOKUP($I146,'Privacy Analyst Evaluation'!$A$46:$F$120,4,0),""))&amp;""</f>
      </c>
      <c r="M146" s="208">
        <f>IFERROR(VLOOKUP($I146,'Institution Evaluation'!$A$55:$F$345,6,0),IFERROR(VLOOKUP($I146,'Privacy Analyst Evaluation'!$A$46:$F$120,6,0),""))&amp;""</f>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ht="17" x14ac:dyDescent="0.2">
      <c r="A147" s="208" t="str">
        <f>IFERROR(IF($A146+1&gt;'(backend scoring)'!$T$335,"",$A146+1),"")</f>
      </c>
      <c r="B147" s="208">
        <f>_xlfn.XLOOKUP($A147,'(backend scoring)'!$V$2:$V$333,'(backend scoring)'!$A$2:$A$333,"")</f>
      </c>
      <c r="C147" s="208">
        <f>IFERROR(VLOOKUP($B147,'Institution Evaluation'!$A$55:$F$345,2,0),IFERROR(VLOOKUP($B147,'Privacy Analyst Evaluation'!$A$46:$F$120,2,0),""))&amp;""</f>
      </c>
      <c r="D147" s="208">
        <f>IFERROR(VLOOKUP($B147,'Institution Evaluation'!$A$55:$F$345,3,0),IFERROR(VLOOKUP($B147,'Privacy Analyst Evaluation'!$A$46:$F$120,3,0),""))&amp;""</f>
      </c>
      <c r="E147" s="208">
        <f>IFERROR(VLOOKUP($B147,'Institution Evaluation'!$A$55:$F$345,4,0),IFERROR(VLOOKUP($B147,'Privacy Analyst Evaluation'!$A$46:$F$120,4,0),""))&amp;""</f>
      </c>
      <c r="F147" s="208">
        <f>IFERROR(VLOOKUP($B147,'Institution Evaluation'!$A$55:$F$345,6,0),IFERROR(VLOOKUP($B147,'Privacy Analyst Evaluation'!$A$46:$F$120,6,0),""))&amp;""</f>
      </c>
      <c r="G147" s="209"/>
      <c r="H147" s="208" t="str">
        <f>IFERROR(IF($H146+1&gt;'(backend scoring)'!$Q$335,"",$H146+1),"")</f>
      </c>
      <c r="I147" s="208">
        <f>_xlfn.XLOOKUP($H147,'(backend scoring)'!$S$2:$S$333,'(backend scoring)'!$A$2:$A$333,"")</f>
      </c>
      <c r="J147" s="208">
        <f>IFERROR(VLOOKUP($I147,'Institution Evaluation'!$A$55:$F$345,2,0),IFERROR(VLOOKUP($I147,'Privacy Analyst Evaluation'!$A$46:$F$120,2,0),""))</f>
      </c>
      <c r="K147" s="208">
        <f>IFERROR(VLOOKUP($I147,'Institution Evaluation'!$A$55:$F$345,3,0),IFERROR(VLOOKUP($I147,'Privacy Analyst Evaluation'!$A$46:$F$120,3,0),""))&amp;""</f>
      </c>
      <c r="L147" s="208">
        <f>IFERROR(VLOOKUP($I147,'Institution Evaluation'!$A$55:$F$345,4,0),IFERROR(VLOOKUP($I147,'Privacy Analyst Evaluation'!$A$46:$F$120,4,0),""))&amp;""</f>
      </c>
      <c r="M147" s="208">
        <f>IFERROR(VLOOKUP($I147,'Institution Evaluation'!$A$55:$F$345,6,0),IFERROR(VLOOKUP($I147,'Privacy Analyst Evaluation'!$A$46:$F$120,6,0),""))&amp;""</f>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ht="17" x14ac:dyDescent="0.2">
      <c r="A148" s="208" t="str">
        <f>IFERROR(IF($A147+1&gt;'(backend scoring)'!$T$335,"",$A147+1),"")</f>
      </c>
      <c r="B148" s="208">
        <f>_xlfn.XLOOKUP($A148,'(backend scoring)'!$V$2:$V$333,'(backend scoring)'!$A$2:$A$333,"")</f>
      </c>
      <c r="C148" s="208">
        <f>IFERROR(VLOOKUP($B148,'Institution Evaluation'!$A$55:$F$345,2,0),IFERROR(VLOOKUP($B148,'Privacy Analyst Evaluation'!$A$46:$F$120,2,0),""))&amp;""</f>
      </c>
      <c r="D148" s="208">
        <f>IFERROR(VLOOKUP($B148,'Institution Evaluation'!$A$55:$F$345,3,0),IFERROR(VLOOKUP($B148,'Privacy Analyst Evaluation'!$A$46:$F$120,3,0),""))&amp;""</f>
      </c>
      <c r="E148" s="208">
        <f>IFERROR(VLOOKUP($B148,'Institution Evaluation'!$A$55:$F$345,4,0),IFERROR(VLOOKUP($B148,'Privacy Analyst Evaluation'!$A$46:$F$120,4,0),""))&amp;""</f>
      </c>
      <c r="F148" s="208">
        <f>IFERROR(VLOOKUP($B148,'Institution Evaluation'!$A$55:$F$345,6,0),IFERROR(VLOOKUP($B148,'Privacy Analyst Evaluation'!$A$46:$F$120,6,0),""))&amp;""</f>
      </c>
      <c r="G148" s="209"/>
      <c r="H148" s="208" t="str">
        <f>IFERROR(IF($H147+1&gt;'(backend scoring)'!$Q$335,"",$H147+1),"")</f>
      </c>
      <c r="I148" s="208">
        <f>_xlfn.XLOOKUP($H148,'(backend scoring)'!$S$2:$S$333,'(backend scoring)'!$A$2:$A$333,"")</f>
      </c>
      <c r="J148" s="208">
        <f>IFERROR(VLOOKUP($I148,'Institution Evaluation'!$A$55:$F$345,2,0),IFERROR(VLOOKUP($I148,'Privacy Analyst Evaluation'!$A$46:$F$120,2,0),""))</f>
      </c>
      <c r="K148" s="208">
        <f>IFERROR(VLOOKUP($I148,'Institution Evaluation'!$A$55:$F$345,3,0),IFERROR(VLOOKUP($I148,'Privacy Analyst Evaluation'!$A$46:$F$120,3,0),""))&amp;""</f>
      </c>
      <c r="L148" s="208">
        <f>IFERROR(VLOOKUP($I148,'Institution Evaluation'!$A$55:$F$345,4,0),IFERROR(VLOOKUP($I148,'Privacy Analyst Evaluation'!$A$46:$F$120,4,0),""))&amp;""</f>
      </c>
      <c r="M148" s="208">
        <f>IFERROR(VLOOKUP($I148,'Institution Evaluation'!$A$55:$F$345,6,0),IFERROR(VLOOKUP($I148,'Privacy Analyst Evaluation'!$A$46:$F$120,6,0),""))&amp;""</f>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ht="17" x14ac:dyDescent="0.2">
      <c r="A149" s="208" t="str">
        <f>IFERROR(IF($A148+1&gt;'(backend scoring)'!$T$335,"",$A148+1),"")</f>
      </c>
      <c r="B149" s="208">
        <f>_xlfn.XLOOKUP($A149,'(backend scoring)'!$V$2:$V$333,'(backend scoring)'!$A$2:$A$333,"")</f>
      </c>
      <c r="C149" s="208">
        <f>IFERROR(VLOOKUP($B149,'Institution Evaluation'!$A$55:$F$345,2,0),IFERROR(VLOOKUP($B149,'Privacy Analyst Evaluation'!$A$46:$F$120,2,0),""))&amp;""</f>
      </c>
      <c r="D149" s="208">
        <f>IFERROR(VLOOKUP($B149,'Institution Evaluation'!$A$55:$F$345,3,0),IFERROR(VLOOKUP($B149,'Privacy Analyst Evaluation'!$A$46:$F$120,3,0),""))&amp;""</f>
      </c>
      <c r="E149" s="208">
        <f>IFERROR(VLOOKUP($B149,'Institution Evaluation'!$A$55:$F$345,4,0),IFERROR(VLOOKUP($B149,'Privacy Analyst Evaluation'!$A$46:$F$120,4,0),""))&amp;""</f>
      </c>
      <c r="F149" s="208">
        <f>IFERROR(VLOOKUP($B149,'Institution Evaluation'!$A$55:$F$345,6,0),IFERROR(VLOOKUP($B149,'Privacy Analyst Evaluation'!$A$46:$F$120,6,0),""))&amp;""</f>
      </c>
      <c r="G149" s="209"/>
      <c r="H149" s="208" t="str">
        <f>IFERROR(IF($H148+1&gt;'(backend scoring)'!$Q$335,"",$H148+1),"")</f>
      </c>
      <c r="I149" s="208">
        <f>_xlfn.XLOOKUP($H149,'(backend scoring)'!$S$2:$S$333,'(backend scoring)'!$A$2:$A$333,"")</f>
      </c>
      <c r="J149" s="208">
        <f>IFERROR(VLOOKUP($I149,'Institution Evaluation'!$A$55:$F$345,2,0),IFERROR(VLOOKUP($I149,'Privacy Analyst Evaluation'!$A$46:$F$120,2,0),""))</f>
      </c>
      <c r="K149" s="208">
        <f>IFERROR(VLOOKUP($I149,'Institution Evaluation'!$A$55:$F$345,3,0),IFERROR(VLOOKUP($I149,'Privacy Analyst Evaluation'!$A$46:$F$120,3,0),""))&amp;""</f>
      </c>
      <c r="L149" s="208">
        <f>IFERROR(VLOOKUP($I149,'Institution Evaluation'!$A$55:$F$345,4,0),IFERROR(VLOOKUP($I149,'Privacy Analyst Evaluation'!$A$46:$F$120,4,0),""))&amp;""</f>
      </c>
      <c r="M149" s="208">
        <f>IFERROR(VLOOKUP($I149,'Institution Evaluation'!$A$55:$F$345,6,0),IFERROR(VLOOKUP($I149,'Privacy Analyst Evaluation'!$A$46:$F$120,6,0),""))&amp;""</f>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ht="17" x14ac:dyDescent="0.2">
      <c r="A150" s="208" t="str">
        <f>IFERROR(IF($A149+1&gt;'(backend scoring)'!$T$335,"",$A149+1),"")</f>
      </c>
      <c r="B150" s="208">
        <f>_xlfn.XLOOKUP($A150,'(backend scoring)'!$V$2:$V$333,'(backend scoring)'!$A$2:$A$333,"")</f>
      </c>
      <c r="C150" s="208">
        <f>IFERROR(VLOOKUP($B150,'Institution Evaluation'!$A$55:$F$345,2,0),IFERROR(VLOOKUP($B150,'Privacy Analyst Evaluation'!$A$46:$F$120,2,0),""))&amp;""</f>
      </c>
      <c r="D150" s="208">
        <f>IFERROR(VLOOKUP($B150,'Institution Evaluation'!$A$55:$F$345,3,0),IFERROR(VLOOKUP($B150,'Privacy Analyst Evaluation'!$A$46:$F$120,3,0),""))&amp;""</f>
      </c>
      <c r="E150" s="208">
        <f>IFERROR(VLOOKUP($B150,'Institution Evaluation'!$A$55:$F$345,4,0),IFERROR(VLOOKUP($B150,'Privacy Analyst Evaluation'!$A$46:$F$120,4,0),""))&amp;""</f>
      </c>
      <c r="F150" s="208">
        <f>IFERROR(VLOOKUP($B150,'Institution Evaluation'!$A$55:$F$345,6,0),IFERROR(VLOOKUP($B150,'Privacy Analyst Evaluation'!$A$46:$F$120,6,0),""))&amp;""</f>
      </c>
      <c r="G150" s="209"/>
      <c r="H150" s="208" t="str">
        <f>IFERROR(IF($H149+1&gt;'(backend scoring)'!$Q$335,"",$H149+1),"")</f>
      </c>
      <c r="I150" s="208">
        <f>_xlfn.XLOOKUP($H150,'(backend scoring)'!$S$2:$S$333,'(backend scoring)'!$A$2:$A$333,"")</f>
      </c>
      <c r="J150" s="208">
        <f>IFERROR(VLOOKUP($I150,'Institution Evaluation'!$A$55:$F$345,2,0),IFERROR(VLOOKUP($I150,'Privacy Analyst Evaluation'!$A$46:$F$120,2,0),""))</f>
      </c>
      <c r="K150" s="208">
        <f>IFERROR(VLOOKUP($I150,'Institution Evaluation'!$A$55:$F$345,3,0),IFERROR(VLOOKUP($I150,'Privacy Analyst Evaluation'!$A$46:$F$120,3,0),""))&amp;""</f>
      </c>
      <c r="L150" s="208">
        <f>IFERROR(VLOOKUP($I150,'Institution Evaluation'!$A$55:$F$345,4,0),IFERROR(VLOOKUP($I150,'Privacy Analyst Evaluation'!$A$46:$F$120,4,0),""))&amp;""</f>
      </c>
      <c r="M150" s="208">
        <f>IFERROR(VLOOKUP($I150,'Institution Evaluation'!$A$55:$F$345,6,0),IFERROR(VLOOKUP($I150,'Privacy Analyst Evaluation'!$A$46:$F$120,6,0),""))&amp;""</f>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ht="17" x14ac:dyDescent="0.2">
      <c r="A151" s="208" t="str">
        <f>IFERROR(IF($A150+1&gt;'(backend scoring)'!$T$335,"",$A150+1),"")</f>
      </c>
      <c r="B151" s="208">
        <f>_xlfn.XLOOKUP($A151,'(backend scoring)'!$V$2:$V$333,'(backend scoring)'!$A$2:$A$333,"")</f>
      </c>
      <c r="C151" s="208">
        <f>IFERROR(VLOOKUP($B151,'Institution Evaluation'!$A$55:$F$345,2,0),IFERROR(VLOOKUP($B151,'Privacy Analyst Evaluation'!$A$46:$F$120,2,0),""))&amp;""</f>
      </c>
      <c r="D151" s="208">
        <f>IFERROR(VLOOKUP($B151,'Institution Evaluation'!$A$55:$F$345,3,0),IFERROR(VLOOKUP($B151,'Privacy Analyst Evaluation'!$A$46:$F$120,3,0),""))&amp;""</f>
      </c>
      <c r="E151" s="208">
        <f>IFERROR(VLOOKUP($B151,'Institution Evaluation'!$A$55:$F$345,4,0),IFERROR(VLOOKUP($B151,'Privacy Analyst Evaluation'!$A$46:$F$120,4,0),""))&amp;""</f>
      </c>
      <c r="F151" s="208">
        <f>IFERROR(VLOOKUP($B151,'Institution Evaluation'!$A$55:$F$345,6,0),IFERROR(VLOOKUP($B151,'Privacy Analyst Evaluation'!$A$46:$F$120,6,0),""))&amp;""</f>
      </c>
      <c r="G151" s="209"/>
      <c r="H151" s="208" t="str">
        <f>IFERROR(IF($H150+1&gt;'(backend scoring)'!$Q$335,"",$H150+1),"")</f>
      </c>
      <c r="I151" s="208">
        <f>_xlfn.XLOOKUP($H151,'(backend scoring)'!$S$2:$S$333,'(backend scoring)'!$A$2:$A$333,"")</f>
      </c>
      <c r="J151" s="208">
        <f>IFERROR(VLOOKUP($I151,'Institution Evaluation'!$A$55:$F$345,2,0),IFERROR(VLOOKUP($I151,'Privacy Analyst Evaluation'!$A$46:$F$120,2,0),""))</f>
      </c>
      <c r="K151" s="208">
        <f>IFERROR(VLOOKUP($I151,'Institution Evaluation'!$A$55:$F$345,3,0),IFERROR(VLOOKUP($I151,'Privacy Analyst Evaluation'!$A$46:$F$120,3,0),""))&amp;""</f>
      </c>
      <c r="L151" s="208">
        <f>IFERROR(VLOOKUP($I151,'Institution Evaluation'!$A$55:$F$345,4,0),IFERROR(VLOOKUP($I151,'Privacy Analyst Evaluation'!$A$46:$F$120,4,0),""))&amp;""</f>
      </c>
      <c r="M151" s="208">
        <f>IFERROR(VLOOKUP($I151,'Institution Evaluation'!$A$55:$F$345,6,0),IFERROR(VLOOKUP($I151,'Privacy Analyst Evaluation'!$A$46:$F$120,6,0),""))&amp;""</f>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ht="17" x14ac:dyDescent="0.2">
      <c r="A152" s="208" t="str">
        <f>IFERROR(IF($A151+1&gt;'(backend scoring)'!$T$335,"",$A151+1),"")</f>
      </c>
      <c r="B152" s="208">
        <f>_xlfn.XLOOKUP($A152,'(backend scoring)'!$V$2:$V$333,'(backend scoring)'!$A$2:$A$333,"")</f>
      </c>
      <c r="C152" s="208">
        <f>IFERROR(VLOOKUP($B152,'Institution Evaluation'!$A$55:$F$345,2,0),IFERROR(VLOOKUP($B152,'Privacy Analyst Evaluation'!$A$46:$F$120,2,0),""))&amp;""</f>
      </c>
      <c r="D152" s="208">
        <f>IFERROR(VLOOKUP($B152,'Institution Evaluation'!$A$55:$F$345,3,0),IFERROR(VLOOKUP($B152,'Privacy Analyst Evaluation'!$A$46:$F$120,3,0),""))&amp;""</f>
      </c>
      <c r="E152" s="208">
        <f>IFERROR(VLOOKUP($B152,'Institution Evaluation'!$A$55:$F$345,4,0),IFERROR(VLOOKUP($B152,'Privacy Analyst Evaluation'!$A$46:$F$120,4,0),""))&amp;""</f>
      </c>
      <c r="F152" s="208">
        <f>IFERROR(VLOOKUP($B152,'Institution Evaluation'!$A$55:$F$345,6,0),IFERROR(VLOOKUP($B152,'Privacy Analyst Evaluation'!$A$46:$F$120,6,0),""))&amp;""</f>
      </c>
      <c r="G152" s="209"/>
      <c r="H152" s="208" t="str">
        <f>IFERROR(IF($H151+1&gt;'(backend scoring)'!$Q$335,"",$H151+1),"")</f>
      </c>
      <c r="I152" s="208">
        <f>_xlfn.XLOOKUP($H152,'(backend scoring)'!$S$2:$S$333,'(backend scoring)'!$A$2:$A$333,"")</f>
      </c>
      <c r="J152" s="208">
        <f>IFERROR(VLOOKUP($I152,'Institution Evaluation'!$A$55:$F$345,2,0),IFERROR(VLOOKUP($I152,'Privacy Analyst Evaluation'!$A$46:$F$120,2,0),""))</f>
      </c>
      <c r="K152" s="208">
        <f>IFERROR(VLOOKUP($I152,'Institution Evaluation'!$A$55:$F$345,3,0),IFERROR(VLOOKUP($I152,'Privacy Analyst Evaluation'!$A$46:$F$120,3,0),""))&amp;""</f>
      </c>
      <c r="L152" s="208">
        <f>IFERROR(VLOOKUP($I152,'Institution Evaluation'!$A$55:$F$345,4,0),IFERROR(VLOOKUP($I152,'Privacy Analyst Evaluation'!$A$46:$F$120,4,0),""))&amp;""</f>
      </c>
      <c r="M152" s="208">
        <f>IFERROR(VLOOKUP($I152,'Institution Evaluation'!$A$55:$F$345,6,0),IFERROR(VLOOKUP($I152,'Privacy Analyst Evaluation'!$A$46:$F$120,6,0),""))&amp;""</f>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ht="17" x14ac:dyDescent="0.2">
      <c r="A153" s="208" t="str">
        <f>IFERROR(IF($A152+1&gt;'(backend scoring)'!$T$335,"",$A152+1),"")</f>
      </c>
      <c r="B153" s="208">
        <f>_xlfn.XLOOKUP($A153,'(backend scoring)'!$V$2:$V$333,'(backend scoring)'!$A$2:$A$333,"")</f>
      </c>
      <c r="C153" s="208">
        <f>IFERROR(VLOOKUP($B153,'Institution Evaluation'!$A$55:$F$345,2,0),IFERROR(VLOOKUP($B153,'Privacy Analyst Evaluation'!$A$46:$F$120,2,0),""))&amp;""</f>
      </c>
      <c r="D153" s="208">
        <f>IFERROR(VLOOKUP($B153,'Institution Evaluation'!$A$55:$F$345,3,0),IFERROR(VLOOKUP($B153,'Privacy Analyst Evaluation'!$A$46:$F$120,3,0),""))&amp;""</f>
      </c>
      <c r="E153" s="208">
        <f>IFERROR(VLOOKUP($B153,'Institution Evaluation'!$A$55:$F$345,4,0),IFERROR(VLOOKUP($B153,'Privacy Analyst Evaluation'!$A$46:$F$120,4,0),""))&amp;""</f>
      </c>
      <c r="F153" s="208">
        <f>IFERROR(VLOOKUP($B153,'Institution Evaluation'!$A$55:$F$345,6,0),IFERROR(VLOOKUP($B153,'Privacy Analyst Evaluation'!$A$46:$F$120,6,0),""))&amp;""</f>
      </c>
      <c r="G153" s="209"/>
      <c r="H153" s="208" t="str">
        <f>IFERROR(IF($H152+1&gt;'(backend scoring)'!$Q$335,"",$H152+1),"")</f>
      </c>
      <c r="I153" s="208">
        <f>_xlfn.XLOOKUP($H153,'(backend scoring)'!$S$2:$S$333,'(backend scoring)'!$A$2:$A$333,"")</f>
      </c>
      <c r="J153" s="208">
        <f>IFERROR(VLOOKUP($I153,'Institution Evaluation'!$A$55:$F$345,2,0),IFERROR(VLOOKUP($I153,'Privacy Analyst Evaluation'!$A$46:$F$120,2,0),""))</f>
      </c>
      <c r="K153" s="208">
        <f>IFERROR(VLOOKUP($I153,'Institution Evaluation'!$A$55:$F$345,3,0),IFERROR(VLOOKUP($I153,'Privacy Analyst Evaluation'!$A$46:$F$120,3,0),""))&amp;""</f>
      </c>
      <c r="L153" s="208">
        <f>IFERROR(VLOOKUP($I153,'Institution Evaluation'!$A$55:$F$345,4,0),IFERROR(VLOOKUP($I153,'Privacy Analyst Evaluation'!$A$46:$F$120,4,0),""))&amp;""</f>
      </c>
      <c r="M153" s="208">
        <f>IFERROR(VLOOKUP($I153,'Institution Evaluation'!$A$55:$F$345,6,0),IFERROR(VLOOKUP($I153,'Privacy Analyst Evaluation'!$A$46:$F$120,6,0),""))&amp;""</f>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ht="17" x14ac:dyDescent="0.2">
      <c r="A154" s="208" t="str">
        <f>IFERROR(IF($A153+1&gt;'(backend scoring)'!$T$335,"",$A153+1),"")</f>
      </c>
      <c r="B154" s="208">
        <f>_xlfn.XLOOKUP($A154,'(backend scoring)'!$V$2:$V$333,'(backend scoring)'!$A$2:$A$333,"")</f>
      </c>
      <c r="C154" s="208">
        <f>IFERROR(VLOOKUP($B154,'Institution Evaluation'!$A$55:$F$345,2,0),IFERROR(VLOOKUP($B154,'Privacy Analyst Evaluation'!$A$46:$F$120,2,0),""))&amp;""</f>
      </c>
      <c r="D154" s="208">
        <f>IFERROR(VLOOKUP($B154,'Institution Evaluation'!$A$55:$F$345,3,0),IFERROR(VLOOKUP($B154,'Privacy Analyst Evaluation'!$A$46:$F$120,3,0),""))&amp;""</f>
      </c>
      <c r="E154" s="208">
        <f>IFERROR(VLOOKUP($B154,'Institution Evaluation'!$A$55:$F$345,4,0),IFERROR(VLOOKUP($B154,'Privacy Analyst Evaluation'!$A$46:$F$120,4,0),""))&amp;""</f>
      </c>
      <c r="F154" s="208">
        <f>IFERROR(VLOOKUP($B154,'Institution Evaluation'!$A$55:$F$345,6,0),IFERROR(VLOOKUP($B154,'Privacy Analyst Evaluation'!$A$46:$F$120,6,0),""))&amp;""</f>
      </c>
      <c r="G154" s="209"/>
      <c r="H154" s="208" t="str">
        <f>IFERROR(IF($H153+1&gt;'(backend scoring)'!$Q$335,"",$H153+1),"")</f>
      </c>
      <c r="I154" s="208">
        <f>_xlfn.XLOOKUP($H154,'(backend scoring)'!$S$2:$S$333,'(backend scoring)'!$A$2:$A$333,"")</f>
      </c>
      <c r="J154" s="208">
        <f>IFERROR(VLOOKUP($I154,'Institution Evaluation'!$A$55:$F$345,2,0),IFERROR(VLOOKUP($I154,'Privacy Analyst Evaluation'!$A$46:$F$120,2,0),""))</f>
      </c>
      <c r="K154" s="208">
        <f>IFERROR(VLOOKUP($I154,'Institution Evaluation'!$A$55:$F$345,3,0),IFERROR(VLOOKUP($I154,'Privacy Analyst Evaluation'!$A$46:$F$120,3,0),""))&amp;""</f>
      </c>
      <c r="L154" s="208">
        <f>IFERROR(VLOOKUP($I154,'Institution Evaluation'!$A$55:$F$345,4,0),IFERROR(VLOOKUP($I154,'Privacy Analyst Evaluation'!$A$46:$F$120,4,0),""))&amp;""</f>
      </c>
      <c r="M154" s="208">
        <f>IFERROR(VLOOKUP($I154,'Institution Evaluation'!$A$55:$F$345,6,0),IFERROR(VLOOKUP($I154,'Privacy Analyst Evaluation'!$A$46:$F$120,6,0),""))&amp;""</f>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ht="17" x14ac:dyDescent="0.2">
      <c r="A155" s="208" t="str">
        <f>IFERROR(IF($A154+1&gt;'(backend scoring)'!$T$335,"",$A154+1),"")</f>
      </c>
      <c r="B155" s="208">
        <f>_xlfn.XLOOKUP($A155,'(backend scoring)'!$V$2:$V$333,'(backend scoring)'!$A$2:$A$333,"")</f>
      </c>
      <c r="C155" s="208">
        <f>IFERROR(VLOOKUP($B155,'Institution Evaluation'!$A$55:$F$345,2,0),IFERROR(VLOOKUP($B155,'Privacy Analyst Evaluation'!$A$46:$F$120,2,0),""))&amp;""</f>
      </c>
      <c r="D155" s="208">
        <f>IFERROR(VLOOKUP($B155,'Institution Evaluation'!$A$55:$F$345,3,0),IFERROR(VLOOKUP($B155,'Privacy Analyst Evaluation'!$A$46:$F$120,3,0),""))&amp;""</f>
      </c>
      <c r="E155" s="208">
        <f>IFERROR(VLOOKUP($B155,'Institution Evaluation'!$A$55:$F$345,4,0),IFERROR(VLOOKUP($B155,'Privacy Analyst Evaluation'!$A$46:$F$120,4,0),""))&amp;""</f>
      </c>
      <c r="F155" s="208">
        <f>IFERROR(VLOOKUP($B155,'Institution Evaluation'!$A$55:$F$345,6,0),IFERROR(VLOOKUP($B155,'Privacy Analyst Evaluation'!$A$46:$F$120,6,0),""))&amp;""</f>
      </c>
      <c r="G155" s="209"/>
      <c r="H155" s="208" t="str">
        <f>IFERROR(IF($H154+1&gt;'(backend scoring)'!$Q$335,"",$H154+1),"")</f>
      </c>
      <c r="I155" s="208">
        <f>_xlfn.XLOOKUP($H155,'(backend scoring)'!$S$2:$S$333,'(backend scoring)'!$A$2:$A$333,"")</f>
      </c>
      <c r="J155" s="208">
        <f>IFERROR(VLOOKUP($I155,'Institution Evaluation'!$A$55:$F$345,2,0),IFERROR(VLOOKUP($I155,'Privacy Analyst Evaluation'!$A$46:$F$120,2,0),""))</f>
      </c>
      <c r="K155" s="208">
        <f>IFERROR(VLOOKUP($I155,'Institution Evaluation'!$A$55:$F$345,3,0),IFERROR(VLOOKUP($I155,'Privacy Analyst Evaluation'!$A$46:$F$120,3,0),""))&amp;""</f>
      </c>
      <c r="L155" s="208">
        <f>IFERROR(VLOOKUP($I155,'Institution Evaluation'!$A$55:$F$345,4,0),IFERROR(VLOOKUP($I155,'Privacy Analyst Evaluation'!$A$46:$F$120,4,0),""))&amp;""</f>
      </c>
      <c r="M155" s="208">
        <f>IFERROR(VLOOKUP($I155,'Institution Evaluation'!$A$55:$F$345,6,0),IFERROR(VLOOKUP($I155,'Privacy Analyst Evaluation'!$A$46:$F$120,6,0),""))&amp;""</f>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ht="17" x14ac:dyDescent="0.2">
      <c r="A156" s="208" t="str">
        <f>IFERROR(IF($A155+1&gt;'(backend scoring)'!$T$335,"",$A155+1),"")</f>
      </c>
      <c r="B156" s="208">
        <f>_xlfn.XLOOKUP($A156,'(backend scoring)'!$V$2:$V$333,'(backend scoring)'!$A$2:$A$333,"")</f>
      </c>
      <c r="C156" s="208">
        <f>IFERROR(VLOOKUP($B156,'Institution Evaluation'!$A$55:$F$345,2,0),IFERROR(VLOOKUP($B156,'Privacy Analyst Evaluation'!$A$46:$F$120,2,0),""))&amp;""</f>
      </c>
      <c r="D156" s="208">
        <f>IFERROR(VLOOKUP($B156,'Institution Evaluation'!$A$55:$F$345,3,0),IFERROR(VLOOKUP($B156,'Privacy Analyst Evaluation'!$A$46:$F$120,3,0),""))&amp;""</f>
      </c>
      <c r="E156" s="208">
        <f>IFERROR(VLOOKUP($B156,'Institution Evaluation'!$A$55:$F$345,4,0),IFERROR(VLOOKUP($B156,'Privacy Analyst Evaluation'!$A$46:$F$120,4,0),""))&amp;""</f>
      </c>
      <c r="F156" s="208">
        <f>IFERROR(VLOOKUP($B156,'Institution Evaluation'!$A$55:$F$345,6,0),IFERROR(VLOOKUP($B156,'Privacy Analyst Evaluation'!$A$46:$F$120,6,0),""))&amp;""</f>
      </c>
      <c r="G156" s="209"/>
      <c r="H156" s="208" t="str">
        <f>IFERROR(IF($H155+1&gt;'(backend scoring)'!$Q$335,"",$H155+1),"")</f>
      </c>
      <c r="I156" s="208">
        <f>_xlfn.XLOOKUP($H156,'(backend scoring)'!$S$2:$S$333,'(backend scoring)'!$A$2:$A$333,"")</f>
      </c>
      <c r="J156" s="208">
        <f>IFERROR(VLOOKUP($I156,'Institution Evaluation'!$A$55:$F$345,2,0),IFERROR(VLOOKUP($I156,'Privacy Analyst Evaluation'!$A$46:$F$120,2,0),""))</f>
      </c>
      <c r="K156" s="208">
        <f>IFERROR(VLOOKUP($I156,'Institution Evaluation'!$A$55:$F$345,3,0),IFERROR(VLOOKUP($I156,'Privacy Analyst Evaluation'!$A$46:$F$120,3,0),""))&amp;""</f>
      </c>
      <c r="L156" s="208">
        <f>IFERROR(VLOOKUP($I156,'Institution Evaluation'!$A$55:$F$345,4,0),IFERROR(VLOOKUP($I156,'Privacy Analyst Evaluation'!$A$46:$F$120,4,0),""))&amp;""</f>
      </c>
      <c r="M156" s="208">
        <f>IFERROR(VLOOKUP($I156,'Institution Evaluation'!$A$55:$F$345,6,0),IFERROR(VLOOKUP($I156,'Privacy Analyst Evaluation'!$A$46:$F$120,6,0),""))&amp;""</f>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ht="17" x14ac:dyDescent="0.2">
      <c r="A157" s="208" t="str">
        <f>IFERROR(IF($A156+1&gt;'(backend scoring)'!$T$335,"",$A156+1),"")</f>
      </c>
      <c r="B157" s="208">
        <f>_xlfn.XLOOKUP($A157,'(backend scoring)'!$V$2:$V$333,'(backend scoring)'!$A$2:$A$333,"")</f>
      </c>
      <c r="C157" s="208">
        <f>IFERROR(VLOOKUP($B157,'Institution Evaluation'!$A$55:$F$345,2,0),IFERROR(VLOOKUP($B157,'Privacy Analyst Evaluation'!$A$46:$F$120,2,0),""))&amp;""</f>
      </c>
      <c r="D157" s="208">
        <f>IFERROR(VLOOKUP($B157,'Institution Evaluation'!$A$55:$F$345,3,0),IFERROR(VLOOKUP($B157,'Privacy Analyst Evaluation'!$A$46:$F$120,3,0),""))&amp;""</f>
      </c>
      <c r="E157" s="208">
        <f>IFERROR(VLOOKUP($B157,'Institution Evaluation'!$A$55:$F$345,4,0),IFERROR(VLOOKUP($B157,'Privacy Analyst Evaluation'!$A$46:$F$120,4,0),""))&amp;""</f>
      </c>
      <c r="F157" s="208">
        <f>IFERROR(VLOOKUP($B157,'Institution Evaluation'!$A$55:$F$345,6,0),IFERROR(VLOOKUP($B157,'Privacy Analyst Evaluation'!$A$46:$F$120,6,0),""))&amp;""</f>
      </c>
      <c r="G157" s="209"/>
      <c r="H157" s="208" t="str">
        <f>IFERROR(IF($H156+1&gt;'(backend scoring)'!$Q$335,"",$H156+1),"")</f>
      </c>
      <c r="I157" s="208">
        <f>_xlfn.XLOOKUP($H157,'(backend scoring)'!$S$2:$S$333,'(backend scoring)'!$A$2:$A$333,"")</f>
      </c>
      <c r="J157" s="208">
        <f>IFERROR(VLOOKUP($I157,'Institution Evaluation'!$A$55:$F$345,2,0),IFERROR(VLOOKUP($I157,'Privacy Analyst Evaluation'!$A$46:$F$120,2,0),""))</f>
      </c>
      <c r="K157" s="208">
        <f>IFERROR(VLOOKUP($I157,'Institution Evaluation'!$A$55:$F$345,3,0),IFERROR(VLOOKUP($I157,'Privacy Analyst Evaluation'!$A$46:$F$120,3,0),""))&amp;""</f>
      </c>
      <c r="L157" s="208">
        <f>IFERROR(VLOOKUP($I157,'Institution Evaluation'!$A$55:$F$345,4,0),IFERROR(VLOOKUP($I157,'Privacy Analyst Evaluation'!$A$46:$F$120,4,0),""))&amp;""</f>
      </c>
      <c r="M157" s="208">
        <f>IFERROR(VLOOKUP($I157,'Institution Evaluation'!$A$55:$F$345,6,0),IFERROR(VLOOKUP($I157,'Privacy Analyst Evaluation'!$A$46:$F$120,6,0),""))&amp;""</f>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ht="17" x14ac:dyDescent="0.2">
      <c r="A158" s="208" t="str">
        <f>IFERROR(IF($A157+1&gt;'(backend scoring)'!$T$335,"",$A157+1),"")</f>
      </c>
      <c r="B158" s="208">
        <f>_xlfn.XLOOKUP($A158,'(backend scoring)'!$V$2:$V$333,'(backend scoring)'!$A$2:$A$333,"")</f>
      </c>
      <c r="C158" s="208">
        <f>IFERROR(VLOOKUP($B158,'Institution Evaluation'!$A$55:$F$345,2,0),IFERROR(VLOOKUP($B158,'Privacy Analyst Evaluation'!$A$46:$F$120,2,0),""))&amp;""</f>
      </c>
      <c r="D158" s="208">
        <f>IFERROR(VLOOKUP($B158,'Institution Evaluation'!$A$55:$F$345,3,0),IFERROR(VLOOKUP($B158,'Privacy Analyst Evaluation'!$A$46:$F$120,3,0),""))&amp;""</f>
      </c>
      <c r="E158" s="208">
        <f>IFERROR(VLOOKUP($B158,'Institution Evaluation'!$A$55:$F$345,4,0),IFERROR(VLOOKUP($B158,'Privacy Analyst Evaluation'!$A$46:$F$120,4,0),""))&amp;""</f>
      </c>
      <c r="F158" s="208">
        <f>IFERROR(VLOOKUP($B158,'Institution Evaluation'!$A$55:$F$345,6,0),IFERROR(VLOOKUP($B158,'Privacy Analyst Evaluation'!$A$46:$F$120,6,0),""))&amp;""</f>
      </c>
      <c r="G158" s="209"/>
      <c r="H158" s="208" t="str">
        <f>IFERROR(IF($H157+1&gt;'(backend scoring)'!$Q$335,"",$H157+1),"")</f>
      </c>
      <c r="I158" s="208">
        <f>_xlfn.XLOOKUP($H158,'(backend scoring)'!$S$2:$S$333,'(backend scoring)'!$A$2:$A$333,"")</f>
      </c>
      <c r="J158" s="208">
        <f>IFERROR(VLOOKUP($I158,'Institution Evaluation'!$A$55:$F$345,2,0),IFERROR(VLOOKUP($I158,'Privacy Analyst Evaluation'!$A$46:$F$120,2,0),""))</f>
      </c>
      <c r="K158" s="208">
        <f>IFERROR(VLOOKUP($I158,'Institution Evaluation'!$A$55:$F$345,3,0),IFERROR(VLOOKUP($I158,'Privacy Analyst Evaluation'!$A$46:$F$120,3,0),""))&amp;""</f>
      </c>
      <c r="L158" s="208">
        <f>IFERROR(VLOOKUP($I158,'Institution Evaluation'!$A$55:$F$345,4,0),IFERROR(VLOOKUP($I158,'Privacy Analyst Evaluation'!$A$46:$F$120,4,0),""))&amp;""</f>
      </c>
      <c r="M158" s="208">
        <f>IFERROR(VLOOKUP($I158,'Institution Evaluation'!$A$55:$F$345,6,0),IFERROR(VLOOKUP($I158,'Privacy Analyst Evaluation'!$A$46:$F$120,6,0),""))&amp;""</f>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ht="17" x14ac:dyDescent="0.2">
      <c r="A159" s="208" t="str">
        <f>IFERROR(IF($A158+1&gt;'(backend scoring)'!$T$335,"",$A158+1),"")</f>
      </c>
      <c r="B159" s="208">
        <f>_xlfn.XLOOKUP($A159,'(backend scoring)'!$V$2:$V$333,'(backend scoring)'!$A$2:$A$333,"")</f>
      </c>
      <c r="C159" s="208">
        <f>IFERROR(VLOOKUP($B159,'Institution Evaluation'!$A$55:$F$345,2,0),IFERROR(VLOOKUP($B159,'Privacy Analyst Evaluation'!$A$46:$F$120,2,0),""))&amp;""</f>
      </c>
      <c r="D159" s="208">
        <f>IFERROR(VLOOKUP($B159,'Institution Evaluation'!$A$55:$F$345,3,0),IFERROR(VLOOKUP($B159,'Privacy Analyst Evaluation'!$A$46:$F$120,3,0),""))&amp;""</f>
      </c>
      <c r="E159" s="208">
        <f>IFERROR(VLOOKUP($B159,'Institution Evaluation'!$A$55:$F$345,4,0),IFERROR(VLOOKUP($B159,'Privacy Analyst Evaluation'!$A$46:$F$120,4,0),""))&amp;""</f>
      </c>
      <c r="F159" s="208">
        <f>IFERROR(VLOOKUP($B159,'Institution Evaluation'!$A$55:$F$345,6,0),IFERROR(VLOOKUP($B159,'Privacy Analyst Evaluation'!$A$46:$F$120,6,0),""))&amp;""</f>
      </c>
      <c r="G159" s="209"/>
      <c r="H159" s="208" t="str">
        <f>IFERROR(IF($H158+1&gt;'(backend scoring)'!$Q$335,"",$H158+1),"")</f>
      </c>
      <c r="I159" s="208">
        <f>_xlfn.XLOOKUP($H159,'(backend scoring)'!$S$2:$S$333,'(backend scoring)'!$A$2:$A$333,"")</f>
      </c>
      <c r="J159" s="208">
        <f>IFERROR(VLOOKUP($I159,'Institution Evaluation'!$A$55:$F$345,2,0),IFERROR(VLOOKUP($I159,'Privacy Analyst Evaluation'!$A$46:$F$120,2,0),""))</f>
      </c>
      <c r="K159" s="208">
        <f>IFERROR(VLOOKUP($I159,'Institution Evaluation'!$A$55:$F$345,3,0),IFERROR(VLOOKUP($I159,'Privacy Analyst Evaluation'!$A$46:$F$120,3,0),""))&amp;""</f>
      </c>
      <c r="L159" s="208">
        <f>IFERROR(VLOOKUP($I159,'Institution Evaluation'!$A$55:$F$345,4,0),IFERROR(VLOOKUP($I159,'Privacy Analyst Evaluation'!$A$46:$F$120,4,0),""))&amp;""</f>
      </c>
      <c r="M159" s="208">
        <f>IFERROR(VLOOKUP($I159,'Institution Evaluation'!$A$55:$F$345,6,0),IFERROR(VLOOKUP($I159,'Privacy Analyst Evaluation'!$A$46:$F$120,6,0),""))&amp;""</f>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ht="17" x14ac:dyDescent="0.2">
      <c r="A160" s="208" t="str">
        <f>IFERROR(IF($A159+1&gt;'(backend scoring)'!$T$335,"",$A159+1),"")</f>
      </c>
      <c r="B160" s="208">
        <f>_xlfn.XLOOKUP($A160,'(backend scoring)'!$V$2:$V$333,'(backend scoring)'!$A$2:$A$333,"")</f>
      </c>
      <c r="C160" s="208">
        <f>IFERROR(VLOOKUP($B160,'Institution Evaluation'!$A$55:$F$345,2,0),IFERROR(VLOOKUP($B160,'Privacy Analyst Evaluation'!$A$46:$F$120,2,0),""))&amp;""</f>
      </c>
      <c r="D160" s="208">
        <f>IFERROR(VLOOKUP($B160,'Institution Evaluation'!$A$55:$F$345,3,0),IFERROR(VLOOKUP($B160,'Privacy Analyst Evaluation'!$A$46:$F$120,3,0),""))&amp;""</f>
      </c>
      <c r="E160" s="208">
        <f>IFERROR(VLOOKUP($B160,'Institution Evaluation'!$A$55:$F$345,4,0),IFERROR(VLOOKUP($B160,'Privacy Analyst Evaluation'!$A$46:$F$120,4,0),""))&amp;""</f>
      </c>
      <c r="F160" s="208">
        <f>IFERROR(VLOOKUP($B160,'Institution Evaluation'!$A$55:$F$345,6,0),IFERROR(VLOOKUP($B160,'Privacy Analyst Evaluation'!$A$46:$F$120,6,0),""))&amp;""</f>
      </c>
      <c r="G160" s="209"/>
      <c r="H160" s="208" t="str">
        <f>IFERROR(IF($H159+1&gt;'(backend scoring)'!$Q$335,"",$H159+1),"")</f>
      </c>
      <c r="I160" s="208">
        <f>_xlfn.XLOOKUP($H160,'(backend scoring)'!$S$2:$S$333,'(backend scoring)'!$A$2:$A$333,"")</f>
      </c>
      <c r="J160" s="208">
        <f>IFERROR(VLOOKUP($I160,'Institution Evaluation'!$A$55:$F$345,2,0),IFERROR(VLOOKUP($I160,'Privacy Analyst Evaluation'!$A$46:$F$120,2,0),""))</f>
      </c>
      <c r="K160" s="208">
        <f>IFERROR(VLOOKUP($I160,'Institution Evaluation'!$A$55:$F$345,3,0),IFERROR(VLOOKUP($I160,'Privacy Analyst Evaluation'!$A$46:$F$120,3,0),""))&amp;""</f>
      </c>
      <c r="L160" s="208">
        <f>IFERROR(VLOOKUP($I160,'Institution Evaluation'!$A$55:$F$345,4,0),IFERROR(VLOOKUP($I160,'Privacy Analyst Evaluation'!$A$46:$F$120,4,0),""))&amp;""</f>
      </c>
      <c r="M160" s="208">
        <f>IFERROR(VLOOKUP($I160,'Institution Evaluation'!$A$55:$F$345,6,0),IFERROR(VLOOKUP($I160,'Privacy Analyst Evaluation'!$A$46:$F$120,6,0),""))&amp;""</f>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ht="17" x14ac:dyDescent="0.2">
      <c r="A161" s="208" t="str">
        <f>IFERROR(IF($A160+1&gt;'(backend scoring)'!$T$335,"",$A160+1),"")</f>
      </c>
      <c r="B161" s="208">
        <f>_xlfn.XLOOKUP($A161,'(backend scoring)'!$V$2:$V$333,'(backend scoring)'!$A$2:$A$333,"")</f>
      </c>
      <c r="C161" s="208">
        <f>IFERROR(VLOOKUP($B161,'Institution Evaluation'!$A$55:$F$345,2,0),IFERROR(VLOOKUP($B161,'Privacy Analyst Evaluation'!$A$46:$F$120,2,0),""))&amp;""</f>
      </c>
      <c r="D161" s="208">
        <f>IFERROR(VLOOKUP($B161,'Institution Evaluation'!$A$55:$F$345,3,0),IFERROR(VLOOKUP($B161,'Privacy Analyst Evaluation'!$A$46:$F$120,3,0),""))&amp;""</f>
      </c>
      <c r="E161" s="208">
        <f>IFERROR(VLOOKUP($B161,'Institution Evaluation'!$A$55:$F$345,4,0),IFERROR(VLOOKUP($B161,'Privacy Analyst Evaluation'!$A$46:$F$120,4,0),""))&amp;""</f>
      </c>
      <c r="F161" s="208">
        <f>IFERROR(VLOOKUP($B161,'Institution Evaluation'!$A$55:$F$345,6,0),IFERROR(VLOOKUP($B161,'Privacy Analyst Evaluation'!$A$46:$F$120,6,0),""))&amp;""</f>
      </c>
      <c r="G161" s="209"/>
      <c r="H161" s="208" t="str">
        <f>IFERROR(IF($H160+1&gt;'(backend scoring)'!$Q$335,"",$H160+1),"")</f>
      </c>
      <c r="I161" s="208">
        <f>_xlfn.XLOOKUP($H161,'(backend scoring)'!$S$2:$S$333,'(backend scoring)'!$A$2:$A$333,"")</f>
      </c>
      <c r="J161" s="208">
        <f>IFERROR(VLOOKUP($I161,'Institution Evaluation'!$A$55:$F$345,2,0),IFERROR(VLOOKUP($I161,'Privacy Analyst Evaluation'!$A$46:$F$120,2,0),""))</f>
      </c>
      <c r="K161" s="208">
        <f>IFERROR(VLOOKUP($I161,'Institution Evaluation'!$A$55:$F$345,3,0),IFERROR(VLOOKUP($I161,'Privacy Analyst Evaluation'!$A$46:$F$120,3,0),""))&amp;""</f>
      </c>
      <c r="L161" s="208">
        <f>IFERROR(VLOOKUP($I161,'Institution Evaluation'!$A$55:$F$345,4,0),IFERROR(VLOOKUP($I161,'Privacy Analyst Evaluation'!$A$46:$F$120,4,0),""))&amp;""</f>
      </c>
      <c r="M161" s="208">
        <f>IFERROR(VLOOKUP($I161,'Institution Evaluation'!$A$55:$F$345,6,0),IFERROR(VLOOKUP($I161,'Privacy Analyst Evaluation'!$A$46:$F$120,6,0),""))&amp;""</f>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ht="17" x14ac:dyDescent="0.2">
      <c r="A162" s="208" t="str">
        <f>IFERROR(IF($A161+1&gt;'(backend scoring)'!$T$335,"",$A161+1),"")</f>
      </c>
      <c r="B162" s="208">
        <f>_xlfn.XLOOKUP($A162,'(backend scoring)'!$V$2:$V$333,'(backend scoring)'!$A$2:$A$333,"")</f>
      </c>
      <c r="C162" s="208">
        <f>IFERROR(VLOOKUP($B162,'Institution Evaluation'!$A$55:$F$345,2,0),IFERROR(VLOOKUP($B162,'Privacy Analyst Evaluation'!$A$46:$F$120,2,0),""))&amp;""</f>
      </c>
      <c r="D162" s="208">
        <f>IFERROR(VLOOKUP($B162,'Institution Evaluation'!$A$55:$F$345,3,0),IFERROR(VLOOKUP($B162,'Privacy Analyst Evaluation'!$A$46:$F$120,3,0),""))&amp;""</f>
      </c>
      <c r="E162" s="208">
        <f>IFERROR(VLOOKUP($B162,'Institution Evaluation'!$A$55:$F$345,4,0),IFERROR(VLOOKUP($B162,'Privacy Analyst Evaluation'!$A$46:$F$120,4,0),""))&amp;""</f>
      </c>
      <c r="F162" s="208">
        <f>IFERROR(VLOOKUP($B162,'Institution Evaluation'!$A$55:$F$345,6,0),IFERROR(VLOOKUP($B162,'Privacy Analyst Evaluation'!$A$46:$F$120,6,0),""))&amp;""</f>
      </c>
      <c r="G162" s="209"/>
      <c r="H162" s="208" t="str">
        <f>IFERROR(IF($H161+1&gt;'(backend scoring)'!$Q$335,"",$H161+1),"")</f>
      </c>
      <c r="I162" s="208">
        <f>_xlfn.XLOOKUP($H162,'(backend scoring)'!$S$2:$S$333,'(backend scoring)'!$A$2:$A$333,"")</f>
      </c>
      <c r="J162" s="208">
        <f>IFERROR(VLOOKUP($I162,'Institution Evaluation'!$A$55:$F$345,2,0),IFERROR(VLOOKUP($I162,'Privacy Analyst Evaluation'!$A$46:$F$120,2,0),""))</f>
      </c>
      <c r="K162" s="208">
        <f>IFERROR(VLOOKUP($I162,'Institution Evaluation'!$A$55:$F$345,3,0),IFERROR(VLOOKUP($I162,'Privacy Analyst Evaluation'!$A$46:$F$120,3,0),""))&amp;""</f>
      </c>
      <c r="L162" s="208">
        <f>IFERROR(VLOOKUP($I162,'Institution Evaluation'!$A$55:$F$345,4,0),IFERROR(VLOOKUP($I162,'Privacy Analyst Evaluation'!$A$46:$F$120,4,0),""))&amp;""</f>
      </c>
      <c r="M162" s="208">
        <f>IFERROR(VLOOKUP($I162,'Institution Evaluation'!$A$55:$F$345,6,0),IFERROR(VLOOKUP($I162,'Privacy Analyst Evaluation'!$A$46:$F$120,6,0),""))&amp;""</f>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ht="17" x14ac:dyDescent="0.2">
      <c r="A163" s="208" t="str">
        <f>IFERROR(IF($A162+1&gt;'(backend scoring)'!$T$335,"",$A162+1),"")</f>
      </c>
      <c r="B163" s="208">
        <f>_xlfn.XLOOKUP($A163,'(backend scoring)'!$V$2:$V$333,'(backend scoring)'!$A$2:$A$333,"")</f>
      </c>
      <c r="C163" s="208">
        <f>IFERROR(VLOOKUP($B163,'Institution Evaluation'!$A$55:$F$345,2,0),IFERROR(VLOOKUP($B163,'Privacy Analyst Evaluation'!$A$46:$F$120,2,0),""))&amp;""</f>
      </c>
      <c r="D163" s="208">
        <f>IFERROR(VLOOKUP($B163,'Institution Evaluation'!$A$55:$F$345,3,0),IFERROR(VLOOKUP($B163,'Privacy Analyst Evaluation'!$A$46:$F$120,3,0),""))&amp;""</f>
      </c>
      <c r="E163" s="208">
        <f>IFERROR(VLOOKUP($B163,'Institution Evaluation'!$A$55:$F$345,4,0),IFERROR(VLOOKUP($B163,'Privacy Analyst Evaluation'!$A$46:$F$120,4,0),""))&amp;""</f>
      </c>
      <c r="F163" s="208">
        <f>IFERROR(VLOOKUP($B163,'Institution Evaluation'!$A$55:$F$345,6,0),IFERROR(VLOOKUP($B163,'Privacy Analyst Evaluation'!$A$46:$F$120,6,0),""))&amp;""</f>
      </c>
      <c r="G163" s="209"/>
      <c r="H163" s="208" t="str">
        <f>IFERROR(IF($H162+1&gt;'(backend scoring)'!$Q$335,"",$H162+1),"")</f>
      </c>
      <c r="I163" s="208">
        <f>_xlfn.XLOOKUP($H163,'(backend scoring)'!$S$2:$S$333,'(backend scoring)'!$A$2:$A$333,"")</f>
      </c>
      <c r="J163" s="208">
        <f>IFERROR(VLOOKUP($I163,'Institution Evaluation'!$A$55:$F$345,2,0),IFERROR(VLOOKUP($I163,'Privacy Analyst Evaluation'!$A$46:$F$120,2,0),""))</f>
      </c>
      <c r="K163" s="208">
        <f>IFERROR(VLOOKUP($I163,'Institution Evaluation'!$A$55:$F$345,3,0),IFERROR(VLOOKUP($I163,'Privacy Analyst Evaluation'!$A$46:$F$120,3,0),""))&amp;""</f>
      </c>
      <c r="L163" s="208">
        <f>IFERROR(VLOOKUP($I163,'Institution Evaluation'!$A$55:$F$345,4,0),IFERROR(VLOOKUP($I163,'Privacy Analyst Evaluation'!$A$46:$F$120,4,0),""))&amp;""</f>
      </c>
      <c r="M163" s="208">
        <f>IFERROR(VLOOKUP($I163,'Institution Evaluation'!$A$55:$F$345,6,0),IFERROR(VLOOKUP($I163,'Privacy Analyst Evaluation'!$A$46:$F$120,6,0),""))&amp;""</f>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ht="17" x14ac:dyDescent="0.2">
      <c r="A164" s="208" t="str">
        <f>IFERROR(IF($A163+1&gt;'(backend scoring)'!$T$335,"",$A163+1),"")</f>
      </c>
      <c r="B164" s="208">
        <f>_xlfn.XLOOKUP($A164,'(backend scoring)'!$V$2:$V$333,'(backend scoring)'!$A$2:$A$333,"")</f>
      </c>
      <c r="C164" s="208">
        <f>IFERROR(VLOOKUP($B164,'Institution Evaluation'!$A$55:$F$345,2,0),IFERROR(VLOOKUP($B164,'Privacy Analyst Evaluation'!$A$46:$F$120,2,0),""))&amp;""</f>
      </c>
      <c r="D164" s="208">
        <f>IFERROR(VLOOKUP($B164,'Institution Evaluation'!$A$55:$F$345,3,0),IFERROR(VLOOKUP($B164,'Privacy Analyst Evaluation'!$A$46:$F$120,3,0),""))&amp;""</f>
      </c>
      <c r="E164" s="208">
        <f>IFERROR(VLOOKUP($B164,'Institution Evaluation'!$A$55:$F$345,4,0),IFERROR(VLOOKUP($B164,'Privacy Analyst Evaluation'!$A$46:$F$120,4,0),""))&amp;""</f>
      </c>
      <c r="F164" s="208">
        <f>IFERROR(VLOOKUP($B164,'Institution Evaluation'!$A$55:$F$345,6,0),IFERROR(VLOOKUP($B164,'Privacy Analyst Evaluation'!$A$46:$F$120,6,0),""))&amp;""</f>
      </c>
      <c r="G164" s="209"/>
      <c r="H164" s="208" t="str">
        <f>IFERROR(IF($H163+1&gt;'(backend scoring)'!$Q$335,"",$H163+1),"")</f>
      </c>
      <c r="I164" s="208">
        <f>_xlfn.XLOOKUP($H164,'(backend scoring)'!$S$2:$S$333,'(backend scoring)'!$A$2:$A$333,"")</f>
      </c>
      <c r="J164" s="208">
        <f>IFERROR(VLOOKUP($I164,'Institution Evaluation'!$A$55:$F$345,2,0),IFERROR(VLOOKUP($I164,'Privacy Analyst Evaluation'!$A$46:$F$120,2,0),""))</f>
      </c>
      <c r="K164" s="208">
        <f>IFERROR(VLOOKUP($I164,'Institution Evaluation'!$A$55:$F$345,3,0),IFERROR(VLOOKUP($I164,'Privacy Analyst Evaluation'!$A$46:$F$120,3,0),""))&amp;""</f>
      </c>
      <c r="L164" s="208">
        <f>IFERROR(VLOOKUP($I164,'Institution Evaluation'!$A$55:$F$345,4,0),IFERROR(VLOOKUP($I164,'Privacy Analyst Evaluation'!$A$46:$F$120,4,0),""))&amp;""</f>
      </c>
      <c r="M164" s="208">
        <f>IFERROR(VLOOKUP($I164,'Institution Evaluation'!$A$55:$F$345,6,0),IFERROR(VLOOKUP($I164,'Privacy Analyst Evaluation'!$A$46:$F$120,6,0),""))&amp;""</f>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ht="17" x14ac:dyDescent="0.2">
      <c r="A165" s="208" t="str">
        <f>IFERROR(IF($A164+1&gt;'(backend scoring)'!$T$335,"",$A164+1),"")</f>
      </c>
      <c r="B165" s="208">
        <f>_xlfn.XLOOKUP($A165,'(backend scoring)'!$V$2:$V$333,'(backend scoring)'!$A$2:$A$333,"")</f>
      </c>
      <c r="C165" s="208">
        <f>IFERROR(VLOOKUP($B165,'Institution Evaluation'!$A$55:$F$345,2,0),IFERROR(VLOOKUP($B165,'Privacy Analyst Evaluation'!$A$46:$F$120,2,0),""))&amp;""</f>
      </c>
      <c r="D165" s="208">
        <f>IFERROR(VLOOKUP($B165,'Institution Evaluation'!$A$55:$F$345,3,0),IFERROR(VLOOKUP($B165,'Privacy Analyst Evaluation'!$A$46:$F$120,3,0),""))&amp;""</f>
      </c>
      <c r="E165" s="208">
        <f>IFERROR(VLOOKUP($B165,'Institution Evaluation'!$A$55:$F$345,4,0),IFERROR(VLOOKUP($B165,'Privacy Analyst Evaluation'!$A$46:$F$120,4,0),""))&amp;""</f>
      </c>
      <c r="F165" s="208">
        <f>IFERROR(VLOOKUP($B165,'Institution Evaluation'!$A$55:$F$345,6,0),IFERROR(VLOOKUP($B165,'Privacy Analyst Evaluation'!$A$46:$F$120,6,0),""))&amp;""</f>
      </c>
      <c r="G165" s="209"/>
      <c r="H165" s="208" t="str">
        <f>IFERROR(IF($H164+1&gt;'(backend scoring)'!$Q$335,"",$H164+1),"")</f>
      </c>
      <c r="I165" s="208">
        <f>_xlfn.XLOOKUP($H165,'(backend scoring)'!$S$2:$S$333,'(backend scoring)'!$A$2:$A$333,"")</f>
      </c>
      <c r="J165" s="208">
        <f>IFERROR(VLOOKUP($I165,'Institution Evaluation'!$A$55:$F$345,2,0),IFERROR(VLOOKUP($I165,'Privacy Analyst Evaluation'!$A$46:$F$120,2,0),""))</f>
      </c>
      <c r="K165" s="208">
        <f>IFERROR(VLOOKUP($I165,'Institution Evaluation'!$A$55:$F$345,3,0),IFERROR(VLOOKUP($I165,'Privacy Analyst Evaluation'!$A$46:$F$120,3,0),""))&amp;""</f>
      </c>
      <c r="L165" s="208">
        <f>IFERROR(VLOOKUP($I165,'Institution Evaluation'!$A$55:$F$345,4,0),IFERROR(VLOOKUP($I165,'Privacy Analyst Evaluation'!$A$46:$F$120,4,0),""))&amp;""</f>
      </c>
      <c r="M165" s="208">
        <f>IFERROR(VLOOKUP($I165,'Institution Evaluation'!$A$55:$F$345,6,0),IFERROR(VLOOKUP($I165,'Privacy Analyst Evaluation'!$A$46:$F$120,6,0),""))&amp;""</f>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ht="17" x14ac:dyDescent="0.2">
      <c r="A166" s="208" t="str">
        <f>IFERROR(IF($A165+1&gt;'(backend scoring)'!$T$335,"",$A165+1),"")</f>
      </c>
      <c r="B166" s="208">
        <f>_xlfn.XLOOKUP($A166,'(backend scoring)'!$V$2:$V$333,'(backend scoring)'!$A$2:$A$333,"")</f>
      </c>
      <c r="C166" s="208">
        <f>IFERROR(VLOOKUP($B166,'Institution Evaluation'!$A$55:$F$345,2,0),IFERROR(VLOOKUP($B166,'Privacy Analyst Evaluation'!$A$46:$F$120,2,0),""))&amp;""</f>
      </c>
      <c r="D166" s="208">
        <f>IFERROR(VLOOKUP($B166,'Institution Evaluation'!$A$55:$F$345,3,0),IFERROR(VLOOKUP($B166,'Privacy Analyst Evaluation'!$A$46:$F$120,3,0),""))&amp;""</f>
      </c>
      <c r="E166" s="208">
        <f>IFERROR(VLOOKUP($B166,'Institution Evaluation'!$A$55:$F$345,4,0),IFERROR(VLOOKUP($B166,'Privacy Analyst Evaluation'!$A$46:$F$120,4,0),""))&amp;""</f>
      </c>
      <c r="F166" s="208">
        <f>IFERROR(VLOOKUP($B166,'Institution Evaluation'!$A$55:$F$345,6,0),IFERROR(VLOOKUP($B166,'Privacy Analyst Evaluation'!$A$46:$F$120,6,0),""))&amp;""</f>
      </c>
      <c r="G166" s="209"/>
      <c r="H166" s="208" t="str">
        <f>IFERROR(IF($H165+1&gt;'(backend scoring)'!$Q$335,"",$H165+1),"")</f>
      </c>
      <c r="I166" s="208">
        <f>_xlfn.XLOOKUP($H166,'(backend scoring)'!$S$2:$S$333,'(backend scoring)'!$A$2:$A$333,"")</f>
      </c>
      <c r="J166" s="208">
        <f>IFERROR(VLOOKUP($I166,'Institution Evaluation'!$A$55:$F$345,2,0),IFERROR(VLOOKUP($I166,'Privacy Analyst Evaluation'!$A$46:$F$120,2,0),""))</f>
      </c>
      <c r="K166" s="208">
        <f>IFERROR(VLOOKUP($I166,'Institution Evaluation'!$A$55:$F$345,3,0),IFERROR(VLOOKUP($I166,'Privacy Analyst Evaluation'!$A$46:$F$120,3,0),""))&amp;""</f>
      </c>
      <c r="L166" s="208">
        <f>IFERROR(VLOOKUP($I166,'Institution Evaluation'!$A$55:$F$345,4,0),IFERROR(VLOOKUP($I166,'Privacy Analyst Evaluation'!$A$46:$F$120,4,0),""))&amp;""</f>
      </c>
      <c r="M166" s="208">
        <f>IFERROR(VLOOKUP($I166,'Institution Evaluation'!$A$55:$F$345,6,0),IFERROR(VLOOKUP($I166,'Privacy Analyst Evaluation'!$A$46:$F$120,6,0),""))&amp;""</f>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ht="17" x14ac:dyDescent="0.2">
      <c r="A167" s="208" t="str">
        <f>IFERROR(IF($A166+1&gt;'(backend scoring)'!$T$335,"",$A166+1),"")</f>
      </c>
      <c r="B167" s="208">
        <f>_xlfn.XLOOKUP($A167,'(backend scoring)'!$V$2:$V$333,'(backend scoring)'!$A$2:$A$333,"")</f>
      </c>
      <c r="C167" s="208">
        <f>IFERROR(VLOOKUP($B167,'Institution Evaluation'!$A$55:$F$345,2,0),IFERROR(VLOOKUP($B167,'Privacy Analyst Evaluation'!$A$46:$F$120,2,0),""))&amp;""</f>
      </c>
      <c r="D167" s="208">
        <f>IFERROR(VLOOKUP($B167,'Institution Evaluation'!$A$55:$F$345,3,0),IFERROR(VLOOKUP($B167,'Privacy Analyst Evaluation'!$A$46:$F$120,3,0),""))&amp;""</f>
      </c>
      <c r="E167" s="208">
        <f>IFERROR(VLOOKUP($B167,'Institution Evaluation'!$A$55:$F$345,4,0),IFERROR(VLOOKUP($B167,'Privacy Analyst Evaluation'!$A$46:$F$120,4,0),""))&amp;""</f>
      </c>
      <c r="F167" s="208">
        <f>IFERROR(VLOOKUP($B167,'Institution Evaluation'!$A$55:$F$345,6,0),IFERROR(VLOOKUP($B167,'Privacy Analyst Evaluation'!$A$46:$F$120,6,0),""))&amp;""</f>
      </c>
      <c r="G167" s="209"/>
      <c r="H167" s="208" t="str">
        <f>IFERROR(IF($H166+1&gt;'(backend scoring)'!$Q$335,"",$H166+1),"")</f>
      </c>
      <c r="I167" s="208">
        <f>_xlfn.XLOOKUP($H167,'(backend scoring)'!$S$2:$S$333,'(backend scoring)'!$A$2:$A$333,"")</f>
      </c>
      <c r="J167" s="208">
        <f>IFERROR(VLOOKUP($I167,'Institution Evaluation'!$A$55:$F$345,2,0),IFERROR(VLOOKUP($I167,'Privacy Analyst Evaluation'!$A$46:$F$120,2,0),""))</f>
      </c>
      <c r="K167" s="208">
        <f>IFERROR(VLOOKUP($I167,'Institution Evaluation'!$A$55:$F$345,3,0),IFERROR(VLOOKUP($I167,'Privacy Analyst Evaluation'!$A$46:$F$120,3,0),""))&amp;""</f>
      </c>
      <c r="L167" s="208">
        <f>IFERROR(VLOOKUP($I167,'Institution Evaluation'!$A$55:$F$345,4,0),IFERROR(VLOOKUP($I167,'Privacy Analyst Evaluation'!$A$46:$F$120,4,0),""))&amp;""</f>
      </c>
      <c r="M167" s="208">
        <f>IFERROR(VLOOKUP($I167,'Institution Evaluation'!$A$55:$F$345,6,0),IFERROR(VLOOKUP($I167,'Privacy Analyst Evaluation'!$A$46:$F$120,6,0),""))&amp;""</f>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ht="17" x14ac:dyDescent="0.2">
      <c r="A168" s="208" t="str">
        <f>IFERROR(IF($A167+1&gt;'(backend scoring)'!$T$335,"",$A167+1),"")</f>
      </c>
      <c r="B168" s="208">
        <f>_xlfn.XLOOKUP($A168,'(backend scoring)'!$V$2:$V$333,'(backend scoring)'!$A$2:$A$333,"")</f>
      </c>
      <c r="C168" s="208">
        <f>IFERROR(VLOOKUP($B168,'Institution Evaluation'!$A$55:$F$345,2,0),IFERROR(VLOOKUP($B168,'Privacy Analyst Evaluation'!$A$46:$F$120,2,0),""))&amp;""</f>
      </c>
      <c r="D168" s="208">
        <f>IFERROR(VLOOKUP($B168,'Institution Evaluation'!$A$55:$F$345,3,0),IFERROR(VLOOKUP($B168,'Privacy Analyst Evaluation'!$A$46:$F$120,3,0),""))&amp;""</f>
      </c>
      <c r="E168" s="208">
        <f>IFERROR(VLOOKUP($B168,'Institution Evaluation'!$A$55:$F$345,4,0),IFERROR(VLOOKUP($B168,'Privacy Analyst Evaluation'!$A$46:$F$120,4,0),""))&amp;""</f>
      </c>
      <c r="F168" s="208">
        <f>IFERROR(VLOOKUP($B168,'Institution Evaluation'!$A$55:$F$345,6,0),IFERROR(VLOOKUP($B168,'Privacy Analyst Evaluation'!$A$46:$F$120,6,0),""))&amp;""</f>
      </c>
      <c r="G168" s="209"/>
      <c r="H168" s="208" t="str">
        <f>IFERROR(IF($H167+1&gt;'(backend scoring)'!$Q$335,"",$H167+1),"")</f>
      </c>
      <c r="I168" s="208">
        <f>_xlfn.XLOOKUP($H168,'(backend scoring)'!$S$2:$S$333,'(backend scoring)'!$A$2:$A$333,"")</f>
      </c>
      <c r="J168" s="208">
        <f>IFERROR(VLOOKUP($I168,'Institution Evaluation'!$A$55:$F$345,2,0),IFERROR(VLOOKUP($I168,'Privacy Analyst Evaluation'!$A$46:$F$120,2,0),""))</f>
      </c>
      <c r="K168" s="208">
        <f>IFERROR(VLOOKUP($I168,'Institution Evaluation'!$A$55:$F$345,3,0),IFERROR(VLOOKUP($I168,'Privacy Analyst Evaluation'!$A$46:$F$120,3,0),""))&amp;""</f>
      </c>
      <c r="L168" s="208">
        <f>IFERROR(VLOOKUP($I168,'Institution Evaluation'!$A$55:$F$345,4,0),IFERROR(VLOOKUP($I168,'Privacy Analyst Evaluation'!$A$46:$F$120,4,0),""))&amp;""</f>
      </c>
      <c r="M168" s="208">
        <f>IFERROR(VLOOKUP($I168,'Institution Evaluation'!$A$55:$F$345,6,0),IFERROR(VLOOKUP($I168,'Privacy Analyst Evaluation'!$A$46:$F$120,6,0),""))&amp;""</f>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ht="17" x14ac:dyDescent="0.2">
      <c r="A169" s="208" t="str">
        <f>IFERROR(IF($A168+1&gt;'(backend scoring)'!$T$335,"",$A168+1),"")</f>
      </c>
      <c r="B169" s="208">
        <f>_xlfn.XLOOKUP($A169,'(backend scoring)'!$V$2:$V$333,'(backend scoring)'!$A$2:$A$333,"")</f>
      </c>
      <c r="C169" s="208">
        <f>IFERROR(VLOOKUP($B169,'Institution Evaluation'!$A$55:$F$345,2,0),IFERROR(VLOOKUP($B169,'Privacy Analyst Evaluation'!$A$46:$F$120,2,0),""))&amp;""</f>
      </c>
      <c r="D169" s="208">
        <f>IFERROR(VLOOKUP($B169,'Institution Evaluation'!$A$55:$F$345,3,0),IFERROR(VLOOKUP($B169,'Privacy Analyst Evaluation'!$A$46:$F$120,3,0),""))&amp;""</f>
      </c>
      <c r="E169" s="208">
        <f>IFERROR(VLOOKUP($B169,'Institution Evaluation'!$A$55:$F$345,4,0),IFERROR(VLOOKUP($B169,'Privacy Analyst Evaluation'!$A$46:$F$120,4,0),""))&amp;""</f>
      </c>
      <c r="F169" s="208">
        <f>IFERROR(VLOOKUP($B169,'Institution Evaluation'!$A$55:$F$345,6,0),IFERROR(VLOOKUP($B169,'Privacy Analyst Evaluation'!$A$46:$F$120,6,0),""))&amp;""</f>
      </c>
      <c r="G169" s="209"/>
      <c r="H169" s="208" t="str">
        <f>IFERROR(IF($H168+1&gt;'(backend scoring)'!$Q$335,"",$H168+1),"")</f>
      </c>
      <c r="I169" s="208">
        <f>_xlfn.XLOOKUP($H169,'(backend scoring)'!$S$2:$S$333,'(backend scoring)'!$A$2:$A$333,"")</f>
      </c>
      <c r="J169" s="208">
        <f>IFERROR(VLOOKUP($I169,'Institution Evaluation'!$A$55:$F$345,2,0),IFERROR(VLOOKUP($I169,'Privacy Analyst Evaluation'!$A$46:$F$120,2,0),""))</f>
      </c>
      <c r="K169" s="208">
        <f>IFERROR(VLOOKUP($I169,'Institution Evaluation'!$A$55:$F$345,3,0),IFERROR(VLOOKUP($I169,'Privacy Analyst Evaluation'!$A$46:$F$120,3,0),""))&amp;""</f>
      </c>
      <c r="L169" s="208">
        <f>IFERROR(VLOOKUP($I169,'Institution Evaluation'!$A$55:$F$345,4,0),IFERROR(VLOOKUP($I169,'Privacy Analyst Evaluation'!$A$46:$F$120,4,0),""))&amp;""</f>
      </c>
      <c r="M169" s="208">
        <f>IFERROR(VLOOKUP($I169,'Institution Evaluation'!$A$55:$F$345,6,0),IFERROR(VLOOKUP($I169,'Privacy Analyst Evaluation'!$A$46:$F$120,6,0),""))&amp;""</f>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ht="17" x14ac:dyDescent="0.2">
      <c r="A170" s="208" t="str">
        <f>IFERROR(IF($A169+1&gt;'(backend scoring)'!$T$335,"",$A169+1),"")</f>
      </c>
      <c r="B170" s="208">
        <f>_xlfn.XLOOKUP($A170,'(backend scoring)'!$V$2:$V$333,'(backend scoring)'!$A$2:$A$333,"")</f>
      </c>
      <c r="C170" s="208">
        <f>IFERROR(VLOOKUP($B170,'Institution Evaluation'!$A$55:$F$345,2,0),IFERROR(VLOOKUP($B170,'Privacy Analyst Evaluation'!$A$46:$F$120,2,0),""))&amp;""</f>
      </c>
      <c r="D170" s="208">
        <f>IFERROR(VLOOKUP($B170,'Institution Evaluation'!$A$55:$F$345,3,0),IFERROR(VLOOKUP($B170,'Privacy Analyst Evaluation'!$A$46:$F$120,3,0),""))&amp;""</f>
      </c>
      <c r="E170" s="208">
        <f>IFERROR(VLOOKUP($B170,'Institution Evaluation'!$A$55:$F$345,4,0),IFERROR(VLOOKUP($B170,'Privacy Analyst Evaluation'!$A$46:$F$120,4,0),""))&amp;""</f>
      </c>
      <c r="F170" s="208">
        <f>IFERROR(VLOOKUP($B170,'Institution Evaluation'!$A$55:$F$345,6,0),IFERROR(VLOOKUP($B170,'Privacy Analyst Evaluation'!$A$46:$F$120,6,0),""))&amp;""</f>
      </c>
      <c r="G170" s="209"/>
      <c r="H170" s="208" t="str">
        <f>IFERROR(IF($H169+1&gt;'(backend scoring)'!$Q$335,"",$H169+1),"")</f>
      </c>
      <c r="I170" s="208">
        <f>_xlfn.XLOOKUP($H170,'(backend scoring)'!$S$2:$S$333,'(backend scoring)'!$A$2:$A$333,"")</f>
      </c>
      <c r="J170" s="208">
        <f>IFERROR(VLOOKUP($I170,'Institution Evaluation'!$A$55:$F$345,2,0),IFERROR(VLOOKUP($I170,'Privacy Analyst Evaluation'!$A$46:$F$120,2,0),""))</f>
      </c>
      <c r="K170" s="208">
        <f>IFERROR(VLOOKUP($I170,'Institution Evaluation'!$A$55:$F$345,3,0),IFERROR(VLOOKUP($I170,'Privacy Analyst Evaluation'!$A$46:$F$120,3,0),""))&amp;""</f>
      </c>
      <c r="L170" s="208">
        <f>IFERROR(VLOOKUP($I170,'Institution Evaluation'!$A$55:$F$345,4,0),IFERROR(VLOOKUP($I170,'Privacy Analyst Evaluation'!$A$46:$F$120,4,0),""))&amp;""</f>
      </c>
      <c r="M170" s="208">
        <f>IFERROR(VLOOKUP($I170,'Institution Evaluation'!$A$55:$F$345,6,0),IFERROR(VLOOKUP($I170,'Privacy Analyst Evaluation'!$A$46:$F$120,6,0),""))&amp;""</f>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ht="17" x14ac:dyDescent="0.2">
      <c r="A171" s="208" t="str">
        <f>IFERROR(IF($A170+1&gt;'(backend scoring)'!$T$335,"",$A170+1),"")</f>
      </c>
      <c r="B171" s="208">
        <f>_xlfn.XLOOKUP($A171,'(backend scoring)'!$V$2:$V$333,'(backend scoring)'!$A$2:$A$333,"")</f>
      </c>
      <c r="C171" s="208">
        <f>IFERROR(VLOOKUP($B171,'Institution Evaluation'!$A$55:$F$345,2,0),IFERROR(VLOOKUP($B171,'Privacy Analyst Evaluation'!$A$46:$F$120,2,0),""))&amp;""</f>
      </c>
      <c r="D171" s="208">
        <f>IFERROR(VLOOKUP($B171,'Institution Evaluation'!$A$55:$F$345,3,0),IFERROR(VLOOKUP($B171,'Privacy Analyst Evaluation'!$A$46:$F$120,3,0),""))&amp;""</f>
      </c>
      <c r="E171" s="208">
        <f>IFERROR(VLOOKUP($B171,'Institution Evaluation'!$A$55:$F$345,4,0),IFERROR(VLOOKUP($B171,'Privacy Analyst Evaluation'!$A$46:$F$120,4,0),""))&amp;""</f>
      </c>
      <c r="F171" s="208">
        <f>IFERROR(VLOOKUP($B171,'Institution Evaluation'!$A$55:$F$345,6,0),IFERROR(VLOOKUP($B171,'Privacy Analyst Evaluation'!$A$46:$F$120,6,0),""))&amp;""</f>
      </c>
      <c r="G171" s="209"/>
      <c r="H171" s="208" t="str">
        <f>IFERROR(IF($H170+1&gt;'(backend scoring)'!$Q$335,"",$H170+1),"")</f>
      </c>
      <c r="I171" s="208">
        <f>_xlfn.XLOOKUP($H171,'(backend scoring)'!$S$2:$S$333,'(backend scoring)'!$A$2:$A$333,"")</f>
      </c>
      <c r="J171" s="208">
        <f>IFERROR(VLOOKUP($I171,'Institution Evaluation'!$A$55:$F$345,2,0),IFERROR(VLOOKUP($I171,'Privacy Analyst Evaluation'!$A$46:$F$120,2,0),""))</f>
      </c>
      <c r="K171" s="208">
        <f>IFERROR(VLOOKUP($I171,'Institution Evaluation'!$A$55:$F$345,3,0),IFERROR(VLOOKUP($I171,'Privacy Analyst Evaluation'!$A$46:$F$120,3,0),""))&amp;""</f>
      </c>
      <c r="L171" s="208">
        <f>IFERROR(VLOOKUP($I171,'Institution Evaluation'!$A$55:$F$345,4,0),IFERROR(VLOOKUP($I171,'Privacy Analyst Evaluation'!$A$46:$F$120,4,0),""))&amp;""</f>
      </c>
      <c r="M171" s="208">
        <f>IFERROR(VLOOKUP($I171,'Institution Evaluation'!$A$55:$F$345,6,0),IFERROR(VLOOKUP($I171,'Privacy Analyst Evaluation'!$A$46:$F$120,6,0),""))&amp;""</f>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ht="17" x14ac:dyDescent="0.2">
      <c r="A172" s="208" t="str">
        <f>IFERROR(IF($A171+1&gt;'(backend scoring)'!$T$335,"",$A171+1),"")</f>
      </c>
      <c r="B172" s="208">
        <f>_xlfn.XLOOKUP($A172,'(backend scoring)'!$V$2:$V$333,'(backend scoring)'!$A$2:$A$333,"")</f>
      </c>
      <c r="C172" s="208">
        <f>IFERROR(VLOOKUP($B172,'Institution Evaluation'!$A$55:$F$345,2,0),IFERROR(VLOOKUP($B172,'Privacy Analyst Evaluation'!$A$46:$F$120,2,0),""))&amp;""</f>
      </c>
      <c r="D172" s="208">
        <f>IFERROR(VLOOKUP($B172,'Institution Evaluation'!$A$55:$F$345,3,0),IFERROR(VLOOKUP($B172,'Privacy Analyst Evaluation'!$A$46:$F$120,3,0),""))&amp;""</f>
      </c>
      <c r="E172" s="208">
        <f>IFERROR(VLOOKUP($B172,'Institution Evaluation'!$A$55:$F$345,4,0),IFERROR(VLOOKUP($B172,'Privacy Analyst Evaluation'!$A$46:$F$120,4,0),""))&amp;""</f>
      </c>
      <c r="F172" s="208">
        <f>IFERROR(VLOOKUP($B172,'Institution Evaluation'!$A$55:$F$345,6,0),IFERROR(VLOOKUP($B172,'Privacy Analyst Evaluation'!$A$46:$F$120,6,0),""))&amp;""</f>
      </c>
      <c r="G172" s="209"/>
      <c r="H172" s="208" t="str">
        <f>IFERROR(IF($H171+1&gt;'(backend scoring)'!$Q$335,"",$H171+1),"")</f>
      </c>
      <c r="I172" s="208">
        <f>_xlfn.XLOOKUP($H172,'(backend scoring)'!$S$2:$S$333,'(backend scoring)'!$A$2:$A$333,"")</f>
      </c>
      <c r="J172" s="208">
        <f>IFERROR(VLOOKUP($I172,'Institution Evaluation'!$A$55:$F$345,2,0),IFERROR(VLOOKUP($I172,'Privacy Analyst Evaluation'!$A$46:$F$120,2,0),""))</f>
      </c>
      <c r="K172" s="208">
        <f>IFERROR(VLOOKUP($I172,'Institution Evaluation'!$A$55:$F$345,3,0),IFERROR(VLOOKUP($I172,'Privacy Analyst Evaluation'!$A$46:$F$120,3,0),""))&amp;""</f>
      </c>
      <c r="L172" s="208">
        <f>IFERROR(VLOOKUP($I172,'Institution Evaluation'!$A$55:$F$345,4,0),IFERROR(VLOOKUP($I172,'Privacy Analyst Evaluation'!$A$46:$F$120,4,0),""))&amp;""</f>
      </c>
      <c r="M172" s="208">
        <f>IFERROR(VLOOKUP($I172,'Institution Evaluation'!$A$55:$F$345,6,0),IFERROR(VLOOKUP($I172,'Privacy Analyst Evaluation'!$A$46:$F$120,6,0),""))&amp;""</f>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ht="17" x14ac:dyDescent="0.2">
      <c r="A173" s="208" t="str">
        <f>IFERROR(IF($A172+1&gt;'(backend scoring)'!$T$335,"",$A172+1),"")</f>
      </c>
      <c r="B173" s="208">
        <f>_xlfn.XLOOKUP($A173,'(backend scoring)'!$V$2:$V$333,'(backend scoring)'!$A$2:$A$333,"")</f>
      </c>
      <c r="C173" s="208">
        <f>IFERROR(VLOOKUP($B173,'Institution Evaluation'!$A$55:$F$345,2,0),IFERROR(VLOOKUP($B173,'Privacy Analyst Evaluation'!$A$46:$F$120,2,0),""))&amp;""</f>
      </c>
      <c r="D173" s="208">
        <f>IFERROR(VLOOKUP($B173,'Institution Evaluation'!$A$55:$F$345,3,0),IFERROR(VLOOKUP($B173,'Privacy Analyst Evaluation'!$A$46:$F$120,3,0),""))&amp;""</f>
      </c>
      <c r="E173" s="208">
        <f>IFERROR(VLOOKUP($B173,'Institution Evaluation'!$A$55:$F$345,4,0),IFERROR(VLOOKUP($B173,'Privacy Analyst Evaluation'!$A$46:$F$120,4,0),""))&amp;""</f>
      </c>
      <c r="F173" s="208">
        <f>IFERROR(VLOOKUP($B173,'Institution Evaluation'!$A$55:$F$345,6,0),IFERROR(VLOOKUP($B173,'Privacy Analyst Evaluation'!$A$46:$F$120,6,0),""))&amp;""</f>
      </c>
      <c r="G173" s="209"/>
      <c r="H173" s="208" t="str">
        <f>IFERROR(IF($H172+1&gt;'(backend scoring)'!$Q$335,"",$H172+1),"")</f>
      </c>
      <c r="I173" s="208">
        <f>_xlfn.XLOOKUP($H173,'(backend scoring)'!$S$2:$S$333,'(backend scoring)'!$A$2:$A$333,"")</f>
      </c>
      <c r="J173" s="208">
        <f>IFERROR(VLOOKUP($I173,'Institution Evaluation'!$A$55:$F$345,2,0),IFERROR(VLOOKUP($I173,'Privacy Analyst Evaluation'!$A$46:$F$120,2,0),""))</f>
      </c>
      <c r="K173" s="208">
        <f>IFERROR(VLOOKUP($I173,'Institution Evaluation'!$A$55:$F$345,3,0),IFERROR(VLOOKUP($I173,'Privacy Analyst Evaluation'!$A$46:$F$120,3,0),""))&amp;""</f>
      </c>
      <c r="L173" s="208">
        <f>IFERROR(VLOOKUP($I173,'Institution Evaluation'!$A$55:$F$345,4,0),IFERROR(VLOOKUP($I173,'Privacy Analyst Evaluation'!$A$46:$F$120,4,0),""))&amp;""</f>
      </c>
      <c r="M173" s="208">
        <f>IFERROR(VLOOKUP($I173,'Institution Evaluation'!$A$55:$F$345,6,0),IFERROR(VLOOKUP($I173,'Privacy Analyst Evaluation'!$A$46:$F$120,6,0),""))&amp;""</f>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ht="17" x14ac:dyDescent="0.2">
      <c r="A174" s="208" t="str">
        <f>IFERROR(IF($A173+1&gt;'(backend scoring)'!$T$335,"",$A173+1),"")</f>
      </c>
      <c r="B174" s="208">
        <f>_xlfn.XLOOKUP($A174,'(backend scoring)'!$V$2:$V$333,'(backend scoring)'!$A$2:$A$333,"")</f>
      </c>
      <c r="C174" s="208">
        <f>IFERROR(VLOOKUP($B174,'Institution Evaluation'!$A$55:$F$345,2,0),IFERROR(VLOOKUP($B174,'Privacy Analyst Evaluation'!$A$46:$F$120,2,0),""))&amp;""</f>
      </c>
      <c r="D174" s="208">
        <f>IFERROR(VLOOKUP($B174,'Institution Evaluation'!$A$55:$F$345,3,0),IFERROR(VLOOKUP($B174,'Privacy Analyst Evaluation'!$A$46:$F$120,3,0),""))&amp;""</f>
      </c>
      <c r="E174" s="208">
        <f>IFERROR(VLOOKUP($B174,'Institution Evaluation'!$A$55:$F$345,4,0),IFERROR(VLOOKUP($B174,'Privacy Analyst Evaluation'!$A$46:$F$120,4,0),""))&amp;""</f>
      </c>
      <c r="F174" s="208">
        <f>IFERROR(VLOOKUP($B174,'Institution Evaluation'!$A$55:$F$345,6,0),IFERROR(VLOOKUP($B174,'Privacy Analyst Evaluation'!$A$46:$F$120,6,0),""))&amp;""</f>
      </c>
      <c r="G174" s="209"/>
      <c r="H174" s="208" t="str">
        <f>IFERROR(IF($H173+1&gt;'(backend scoring)'!$Q$335,"",$H173+1),"")</f>
      </c>
      <c r="I174" s="208">
        <f>_xlfn.XLOOKUP($H174,'(backend scoring)'!$S$2:$S$333,'(backend scoring)'!$A$2:$A$333,"")</f>
      </c>
      <c r="J174" s="208">
        <f>IFERROR(VLOOKUP($I174,'Institution Evaluation'!$A$55:$F$345,2,0),IFERROR(VLOOKUP($I174,'Privacy Analyst Evaluation'!$A$46:$F$120,2,0),""))</f>
      </c>
      <c r="K174" s="208">
        <f>IFERROR(VLOOKUP($I174,'Institution Evaluation'!$A$55:$F$345,3,0),IFERROR(VLOOKUP($I174,'Privacy Analyst Evaluation'!$A$46:$F$120,3,0),""))&amp;""</f>
      </c>
      <c r="L174" s="208">
        <f>IFERROR(VLOOKUP($I174,'Institution Evaluation'!$A$55:$F$345,4,0),IFERROR(VLOOKUP($I174,'Privacy Analyst Evaluation'!$A$46:$F$120,4,0),""))&amp;""</f>
      </c>
      <c r="M174" s="208">
        <f>IFERROR(VLOOKUP($I174,'Institution Evaluation'!$A$55:$F$345,6,0),IFERROR(VLOOKUP($I174,'Privacy Analyst Evaluation'!$A$46:$F$120,6,0),""))&amp;""</f>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ht="17" x14ac:dyDescent="0.2">
      <c r="A175" s="208" t="str">
        <f>IFERROR(IF($A174+1&gt;'(backend scoring)'!$T$335,"",$A174+1),"")</f>
      </c>
      <c r="B175" s="208">
        <f>_xlfn.XLOOKUP($A175,'(backend scoring)'!$V$2:$V$333,'(backend scoring)'!$A$2:$A$333,"")</f>
      </c>
      <c r="C175" s="208">
        <f>IFERROR(VLOOKUP($B175,'Institution Evaluation'!$A$55:$F$345,2,0),IFERROR(VLOOKUP($B175,'Privacy Analyst Evaluation'!$A$46:$F$120,2,0),""))&amp;""</f>
      </c>
      <c r="D175" s="208">
        <f>IFERROR(VLOOKUP($B175,'Institution Evaluation'!$A$55:$F$345,3,0),IFERROR(VLOOKUP($B175,'Privacy Analyst Evaluation'!$A$46:$F$120,3,0),""))&amp;""</f>
      </c>
      <c r="E175" s="208">
        <f>IFERROR(VLOOKUP($B175,'Institution Evaluation'!$A$55:$F$345,4,0),IFERROR(VLOOKUP($B175,'Privacy Analyst Evaluation'!$A$46:$F$120,4,0),""))&amp;""</f>
      </c>
      <c r="F175" s="208">
        <f>IFERROR(VLOOKUP($B175,'Institution Evaluation'!$A$55:$F$345,6,0),IFERROR(VLOOKUP($B175,'Privacy Analyst Evaluation'!$A$46:$F$120,6,0),""))&amp;""</f>
      </c>
      <c r="G175" s="209"/>
      <c r="H175" s="208" t="str">
        <f>IFERROR(IF($H174+1&gt;'(backend scoring)'!$Q$335,"",$H174+1),"")</f>
      </c>
      <c r="I175" s="208">
        <f>_xlfn.XLOOKUP($H175,'(backend scoring)'!$S$2:$S$333,'(backend scoring)'!$A$2:$A$333,"")</f>
      </c>
      <c r="J175" s="208">
        <f>IFERROR(VLOOKUP($I175,'Institution Evaluation'!$A$55:$F$345,2,0),IFERROR(VLOOKUP($I175,'Privacy Analyst Evaluation'!$A$46:$F$120,2,0),""))</f>
      </c>
      <c r="K175" s="208">
        <f>IFERROR(VLOOKUP($I175,'Institution Evaluation'!$A$55:$F$345,3,0),IFERROR(VLOOKUP($I175,'Privacy Analyst Evaluation'!$A$46:$F$120,3,0),""))&amp;""</f>
      </c>
      <c r="L175" s="208">
        <f>IFERROR(VLOOKUP($I175,'Institution Evaluation'!$A$55:$F$345,4,0),IFERROR(VLOOKUP($I175,'Privacy Analyst Evaluation'!$A$46:$F$120,4,0),""))&amp;""</f>
      </c>
      <c r="M175" s="208">
        <f>IFERROR(VLOOKUP($I175,'Institution Evaluation'!$A$55:$F$345,6,0),IFERROR(VLOOKUP($I175,'Privacy Analyst Evaluation'!$A$46:$F$120,6,0),""))&amp;""</f>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ht="17" x14ac:dyDescent="0.2">
      <c r="A176" s="208" t="str">
        <f>IFERROR(IF($A175+1&gt;'(backend scoring)'!$T$335,"",$A175+1),"")</f>
      </c>
      <c r="B176" s="208">
        <f>_xlfn.XLOOKUP($A176,'(backend scoring)'!$V$2:$V$333,'(backend scoring)'!$A$2:$A$333,"")</f>
      </c>
      <c r="C176" s="208">
        <f>IFERROR(VLOOKUP($B176,'Institution Evaluation'!$A$55:$F$345,2,0),IFERROR(VLOOKUP($B176,'Privacy Analyst Evaluation'!$A$46:$F$120,2,0),""))&amp;""</f>
      </c>
      <c r="D176" s="208">
        <f>IFERROR(VLOOKUP($B176,'Institution Evaluation'!$A$55:$F$345,3,0),IFERROR(VLOOKUP($B176,'Privacy Analyst Evaluation'!$A$46:$F$120,3,0),""))&amp;""</f>
      </c>
      <c r="E176" s="208">
        <f>IFERROR(VLOOKUP($B176,'Institution Evaluation'!$A$55:$F$345,4,0),IFERROR(VLOOKUP($B176,'Privacy Analyst Evaluation'!$A$46:$F$120,4,0),""))&amp;""</f>
      </c>
      <c r="F176" s="208">
        <f>IFERROR(VLOOKUP($B176,'Institution Evaluation'!$A$55:$F$345,6,0),IFERROR(VLOOKUP($B176,'Privacy Analyst Evaluation'!$A$46:$F$120,6,0),""))&amp;""</f>
      </c>
      <c r="G176" s="209"/>
      <c r="H176" s="208" t="str">
        <f>IFERROR(IF($H175+1&gt;'(backend scoring)'!$Q$335,"",$H175+1),"")</f>
      </c>
      <c r="I176" s="208">
        <f>_xlfn.XLOOKUP($H176,'(backend scoring)'!$S$2:$S$333,'(backend scoring)'!$A$2:$A$333,"")</f>
      </c>
      <c r="J176" s="208">
        <f>IFERROR(VLOOKUP($I176,'Institution Evaluation'!$A$55:$F$345,2,0),IFERROR(VLOOKUP($I176,'Privacy Analyst Evaluation'!$A$46:$F$120,2,0),""))</f>
      </c>
      <c r="K176" s="208">
        <f>IFERROR(VLOOKUP($I176,'Institution Evaluation'!$A$55:$F$345,3,0),IFERROR(VLOOKUP($I176,'Privacy Analyst Evaluation'!$A$46:$F$120,3,0),""))&amp;""</f>
      </c>
      <c r="L176" s="208">
        <f>IFERROR(VLOOKUP($I176,'Institution Evaluation'!$A$55:$F$345,4,0),IFERROR(VLOOKUP($I176,'Privacy Analyst Evaluation'!$A$46:$F$120,4,0),""))&amp;""</f>
      </c>
      <c r="M176" s="208">
        <f>IFERROR(VLOOKUP($I176,'Institution Evaluation'!$A$55:$F$345,6,0),IFERROR(VLOOKUP($I176,'Privacy Analyst Evaluation'!$A$46:$F$120,6,0),""))&amp;""</f>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ht="17" x14ac:dyDescent="0.2">
      <c r="A177" s="208" t="str">
        <f>IFERROR(IF($A176+1&gt;'(backend scoring)'!$T$335,"",$A176+1),"")</f>
      </c>
      <c r="B177" s="208">
        <f>_xlfn.XLOOKUP($A177,'(backend scoring)'!$V$2:$V$333,'(backend scoring)'!$A$2:$A$333,"")</f>
      </c>
      <c r="C177" s="208">
        <f>IFERROR(VLOOKUP($B177,'Institution Evaluation'!$A$55:$F$345,2,0),IFERROR(VLOOKUP($B177,'Privacy Analyst Evaluation'!$A$46:$F$120,2,0),""))&amp;""</f>
      </c>
      <c r="D177" s="208">
        <f>IFERROR(VLOOKUP($B177,'Institution Evaluation'!$A$55:$F$345,3,0),IFERROR(VLOOKUP($B177,'Privacy Analyst Evaluation'!$A$46:$F$120,3,0),""))&amp;""</f>
      </c>
      <c r="E177" s="208">
        <f>IFERROR(VLOOKUP($B177,'Institution Evaluation'!$A$55:$F$345,4,0),IFERROR(VLOOKUP($B177,'Privacy Analyst Evaluation'!$A$46:$F$120,4,0),""))&amp;""</f>
      </c>
      <c r="F177" s="208">
        <f>IFERROR(VLOOKUP($B177,'Institution Evaluation'!$A$55:$F$345,6,0),IFERROR(VLOOKUP($B177,'Privacy Analyst Evaluation'!$A$46:$F$120,6,0),""))&amp;""</f>
      </c>
      <c r="G177" s="209"/>
      <c r="H177" s="208" t="str">
        <f>IFERROR(IF($H176+1&gt;'(backend scoring)'!$Q$335,"",$H176+1),"")</f>
      </c>
      <c r="I177" s="208">
        <f>_xlfn.XLOOKUP($H177,'(backend scoring)'!$S$2:$S$333,'(backend scoring)'!$A$2:$A$333,"")</f>
      </c>
      <c r="J177" s="208">
        <f>IFERROR(VLOOKUP($I177,'Institution Evaluation'!$A$55:$F$345,2,0),IFERROR(VLOOKUP($I177,'Privacy Analyst Evaluation'!$A$46:$F$120,2,0),""))</f>
      </c>
      <c r="K177" s="208">
        <f>IFERROR(VLOOKUP($I177,'Institution Evaluation'!$A$55:$F$345,3,0),IFERROR(VLOOKUP($I177,'Privacy Analyst Evaluation'!$A$46:$F$120,3,0),""))&amp;""</f>
      </c>
      <c r="L177" s="208">
        <f>IFERROR(VLOOKUP($I177,'Institution Evaluation'!$A$55:$F$345,4,0),IFERROR(VLOOKUP($I177,'Privacy Analyst Evaluation'!$A$46:$F$120,4,0),""))&amp;""</f>
      </c>
      <c r="M177" s="208">
        <f>IFERROR(VLOOKUP($I177,'Institution Evaluation'!$A$55:$F$345,6,0),IFERROR(VLOOKUP($I177,'Privacy Analyst Evaluation'!$A$46:$F$120,6,0),""))&amp;""</f>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ht="17" x14ac:dyDescent="0.2">
      <c r="A178" s="208" t="str">
        <f>IFERROR(IF($A177+1&gt;'(backend scoring)'!$T$335,"",$A177+1),"")</f>
      </c>
      <c r="B178" s="208">
        <f>_xlfn.XLOOKUP($A178,'(backend scoring)'!$V$2:$V$333,'(backend scoring)'!$A$2:$A$333,"")</f>
      </c>
      <c r="C178" s="208">
        <f>IFERROR(VLOOKUP($B178,'Institution Evaluation'!$A$55:$F$345,2,0),IFERROR(VLOOKUP($B178,'Privacy Analyst Evaluation'!$A$46:$F$120,2,0),""))&amp;""</f>
      </c>
      <c r="D178" s="208">
        <f>IFERROR(VLOOKUP($B178,'Institution Evaluation'!$A$55:$F$345,3,0),IFERROR(VLOOKUP($B178,'Privacy Analyst Evaluation'!$A$46:$F$120,3,0),""))&amp;""</f>
      </c>
      <c r="E178" s="208">
        <f>IFERROR(VLOOKUP($B178,'Institution Evaluation'!$A$55:$F$345,4,0),IFERROR(VLOOKUP($B178,'Privacy Analyst Evaluation'!$A$46:$F$120,4,0),""))&amp;""</f>
      </c>
      <c r="F178" s="208">
        <f>IFERROR(VLOOKUP($B178,'Institution Evaluation'!$A$55:$F$345,6,0),IFERROR(VLOOKUP($B178,'Privacy Analyst Evaluation'!$A$46:$F$120,6,0),""))&amp;""</f>
      </c>
      <c r="G178" s="209"/>
      <c r="H178" s="208" t="str">
        <f>IFERROR(IF($H177+1&gt;'(backend scoring)'!$Q$335,"",$H177+1),"")</f>
      </c>
      <c r="I178" s="208">
        <f>_xlfn.XLOOKUP($H178,'(backend scoring)'!$S$2:$S$333,'(backend scoring)'!$A$2:$A$333,"")</f>
      </c>
      <c r="J178" s="208">
        <f>IFERROR(VLOOKUP($I178,'Institution Evaluation'!$A$55:$F$345,2,0),IFERROR(VLOOKUP($I178,'Privacy Analyst Evaluation'!$A$46:$F$120,2,0),""))</f>
      </c>
      <c r="K178" s="208">
        <f>IFERROR(VLOOKUP($I178,'Institution Evaluation'!$A$55:$F$345,3,0),IFERROR(VLOOKUP($I178,'Privacy Analyst Evaluation'!$A$46:$F$120,3,0),""))&amp;""</f>
      </c>
      <c r="L178" s="208">
        <f>IFERROR(VLOOKUP($I178,'Institution Evaluation'!$A$55:$F$345,4,0),IFERROR(VLOOKUP($I178,'Privacy Analyst Evaluation'!$A$46:$F$120,4,0),""))&amp;""</f>
      </c>
      <c r="M178" s="208">
        <f>IFERROR(VLOOKUP($I178,'Institution Evaluation'!$A$55:$F$345,6,0),IFERROR(VLOOKUP($I178,'Privacy Analyst Evaluation'!$A$46:$F$120,6,0),""))&amp;""</f>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ht="17" x14ac:dyDescent="0.2">
      <c r="A179" s="208" t="str">
        <f>IFERROR(IF($A178+1&gt;'(backend scoring)'!$T$335,"",$A178+1),"")</f>
      </c>
      <c r="B179" s="208">
        <f>_xlfn.XLOOKUP($A179,'(backend scoring)'!$V$2:$V$333,'(backend scoring)'!$A$2:$A$333,"")</f>
      </c>
      <c r="C179" s="208">
        <f>IFERROR(VLOOKUP($B179,'Institution Evaluation'!$A$55:$F$345,2,0),IFERROR(VLOOKUP($B179,'Privacy Analyst Evaluation'!$A$46:$F$120,2,0),""))&amp;""</f>
      </c>
      <c r="D179" s="208">
        <f>IFERROR(VLOOKUP($B179,'Institution Evaluation'!$A$55:$F$345,3,0),IFERROR(VLOOKUP($B179,'Privacy Analyst Evaluation'!$A$46:$F$120,3,0),""))&amp;""</f>
      </c>
      <c r="E179" s="208">
        <f>IFERROR(VLOOKUP($B179,'Institution Evaluation'!$A$55:$F$345,4,0),IFERROR(VLOOKUP($B179,'Privacy Analyst Evaluation'!$A$46:$F$120,4,0),""))&amp;""</f>
      </c>
      <c r="F179" s="208">
        <f>IFERROR(VLOOKUP($B179,'Institution Evaluation'!$A$55:$F$345,6,0),IFERROR(VLOOKUP($B179,'Privacy Analyst Evaluation'!$A$46:$F$120,6,0),""))&amp;""</f>
      </c>
      <c r="G179" s="209"/>
      <c r="H179" s="208" t="str">
        <f>IFERROR(IF($H178+1&gt;'(backend scoring)'!$Q$335,"",$H178+1),"")</f>
      </c>
      <c r="I179" s="208">
        <f>_xlfn.XLOOKUP($H179,'(backend scoring)'!$S$2:$S$333,'(backend scoring)'!$A$2:$A$333,"")</f>
      </c>
      <c r="J179" s="208">
        <f>IFERROR(VLOOKUP($I179,'Institution Evaluation'!$A$55:$F$345,2,0),IFERROR(VLOOKUP($I179,'Privacy Analyst Evaluation'!$A$46:$F$120,2,0),""))</f>
      </c>
      <c r="K179" s="208">
        <f>IFERROR(VLOOKUP($I179,'Institution Evaluation'!$A$55:$F$345,3,0),IFERROR(VLOOKUP($I179,'Privacy Analyst Evaluation'!$A$46:$F$120,3,0),""))&amp;""</f>
      </c>
      <c r="L179" s="208">
        <f>IFERROR(VLOOKUP($I179,'Institution Evaluation'!$A$55:$F$345,4,0),IFERROR(VLOOKUP($I179,'Privacy Analyst Evaluation'!$A$46:$F$120,4,0),""))&amp;""</f>
      </c>
      <c r="M179" s="208">
        <f>IFERROR(VLOOKUP($I179,'Institution Evaluation'!$A$55:$F$345,6,0),IFERROR(VLOOKUP($I179,'Privacy Analyst Evaluation'!$A$46:$F$120,6,0),""))&amp;""</f>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ht="17" x14ac:dyDescent="0.2">
      <c r="A180" s="208" t="str">
        <f>IFERROR(IF($A179+1&gt;'(backend scoring)'!$T$335,"",$A179+1),"")</f>
      </c>
      <c r="B180" s="208">
        <f>_xlfn.XLOOKUP($A180,'(backend scoring)'!$V$2:$V$333,'(backend scoring)'!$A$2:$A$333,"")</f>
      </c>
      <c r="C180" s="208">
        <f>IFERROR(VLOOKUP($B180,'Institution Evaluation'!$A$55:$F$345,2,0),IFERROR(VLOOKUP($B180,'Privacy Analyst Evaluation'!$A$46:$F$120,2,0),""))&amp;""</f>
      </c>
      <c r="D180" s="208">
        <f>IFERROR(VLOOKUP($B180,'Institution Evaluation'!$A$55:$F$345,3,0),IFERROR(VLOOKUP($B180,'Privacy Analyst Evaluation'!$A$46:$F$120,3,0),""))&amp;""</f>
      </c>
      <c r="E180" s="208">
        <f>IFERROR(VLOOKUP($B180,'Institution Evaluation'!$A$55:$F$345,4,0),IFERROR(VLOOKUP($B180,'Privacy Analyst Evaluation'!$A$46:$F$120,4,0),""))&amp;""</f>
      </c>
      <c r="F180" s="208">
        <f>IFERROR(VLOOKUP($B180,'Institution Evaluation'!$A$55:$F$345,6,0),IFERROR(VLOOKUP($B180,'Privacy Analyst Evaluation'!$A$46:$F$120,6,0),""))&amp;""</f>
      </c>
      <c r="G180" s="209"/>
      <c r="H180" s="208" t="str">
        <f>IFERROR(IF($H179+1&gt;'(backend scoring)'!$Q$335,"",$H179+1),"")</f>
      </c>
      <c r="I180" s="208">
        <f>_xlfn.XLOOKUP($H180,'(backend scoring)'!$S$2:$S$333,'(backend scoring)'!$A$2:$A$333,"")</f>
      </c>
      <c r="J180" s="208">
        <f>IFERROR(VLOOKUP($I180,'Institution Evaluation'!$A$55:$F$345,2,0),IFERROR(VLOOKUP($I180,'Privacy Analyst Evaluation'!$A$46:$F$120,2,0),""))</f>
      </c>
      <c r="K180" s="208">
        <f>IFERROR(VLOOKUP($I180,'Institution Evaluation'!$A$55:$F$345,3,0),IFERROR(VLOOKUP($I180,'Privacy Analyst Evaluation'!$A$46:$F$120,3,0),""))&amp;""</f>
      </c>
      <c r="L180" s="208">
        <f>IFERROR(VLOOKUP($I180,'Institution Evaluation'!$A$55:$F$345,4,0),IFERROR(VLOOKUP($I180,'Privacy Analyst Evaluation'!$A$46:$F$120,4,0),""))&amp;""</f>
      </c>
      <c r="M180" s="208">
        <f>IFERROR(VLOOKUP($I180,'Institution Evaluation'!$A$55:$F$345,6,0),IFERROR(VLOOKUP($I180,'Privacy Analyst Evaluation'!$A$46:$F$120,6,0),""))&amp;""</f>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ht="17" x14ac:dyDescent="0.2">
      <c r="A181" s="208" t="str">
        <f>IFERROR(IF($A180+1&gt;'(backend scoring)'!$T$335,"",$A180+1),"")</f>
      </c>
      <c r="B181" s="208">
        <f>_xlfn.XLOOKUP($A181,'(backend scoring)'!$V$2:$V$333,'(backend scoring)'!$A$2:$A$333,"")</f>
      </c>
      <c r="C181" s="208">
        <f>IFERROR(VLOOKUP($B181,'Institution Evaluation'!$A$55:$F$345,2,0),IFERROR(VLOOKUP($B181,'Privacy Analyst Evaluation'!$A$46:$F$120,2,0),""))&amp;""</f>
      </c>
      <c r="D181" s="208">
        <f>IFERROR(VLOOKUP($B181,'Institution Evaluation'!$A$55:$F$345,3,0),IFERROR(VLOOKUP($B181,'Privacy Analyst Evaluation'!$A$46:$F$120,3,0),""))&amp;""</f>
      </c>
      <c r="E181" s="208">
        <f>IFERROR(VLOOKUP($B181,'Institution Evaluation'!$A$55:$F$345,4,0),IFERROR(VLOOKUP($B181,'Privacy Analyst Evaluation'!$A$46:$F$120,4,0),""))&amp;""</f>
      </c>
      <c r="F181" s="208">
        <f>IFERROR(VLOOKUP($B181,'Institution Evaluation'!$A$55:$F$345,6,0),IFERROR(VLOOKUP($B181,'Privacy Analyst Evaluation'!$A$46:$F$120,6,0),""))&amp;""</f>
      </c>
      <c r="G181" s="209"/>
      <c r="H181" s="208" t="str">
        <f>IFERROR(IF($H180+1&gt;'(backend scoring)'!$Q$335,"",$H180+1),"")</f>
      </c>
      <c r="I181" s="208">
        <f>_xlfn.XLOOKUP($H181,'(backend scoring)'!$S$2:$S$333,'(backend scoring)'!$A$2:$A$333,"")</f>
      </c>
      <c r="J181" s="208">
        <f>IFERROR(VLOOKUP($I181,'Institution Evaluation'!$A$55:$F$345,2,0),IFERROR(VLOOKUP($I181,'Privacy Analyst Evaluation'!$A$46:$F$120,2,0),""))</f>
      </c>
      <c r="K181" s="208">
        <f>IFERROR(VLOOKUP($I181,'Institution Evaluation'!$A$55:$F$345,3,0),IFERROR(VLOOKUP($I181,'Privacy Analyst Evaluation'!$A$46:$F$120,3,0),""))&amp;""</f>
      </c>
      <c r="L181" s="208">
        <f>IFERROR(VLOOKUP($I181,'Institution Evaluation'!$A$55:$F$345,4,0),IFERROR(VLOOKUP($I181,'Privacy Analyst Evaluation'!$A$46:$F$120,4,0),""))&amp;""</f>
      </c>
      <c r="M181" s="208">
        <f>IFERROR(VLOOKUP($I181,'Institution Evaluation'!$A$55:$F$345,6,0),IFERROR(VLOOKUP($I181,'Privacy Analyst Evaluation'!$A$46:$F$120,6,0),""))&amp;""</f>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ht="17" x14ac:dyDescent="0.2">
      <c r="A182" s="208" t="str">
        <f>IFERROR(IF($A181+1&gt;'(backend scoring)'!$T$335,"",$A181+1),"")</f>
      </c>
      <c r="B182" s="208">
        <f>_xlfn.XLOOKUP($A182,'(backend scoring)'!$V$2:$V$333,'(backend scoring)'!$A$2:$A$333,"")</f>
      </c>
      <c r="C182" s="208">
        <f>IFERROR(VLOOKUP($B182,'Institution Evaluation'!$A$55:$F$345,2,0),IFERROR(VLOOKUP($B182,'Privacy Analyst Evaluation'!$A$46:$F$120,2,0),""))&amp;""</f>
      </c>
      <c r="D182" s="208">
        <f>IFERROR(VLOOKUP($B182,'Institution Evaluation'!$A$55:$F$345,3,0),IFERROR(VLOOKUP($B182,'Privacy Analyst Evaluation'!$A$46:$F$120,3,0),""))&amp;""</f>
      </c>
      <c r="E182" s="208">
        <f>IFERROR(VLOOKUP($B182,'Institution Evaluation'!$A$55:$F$345,4,0),IFERROR(VLOOKUP($B182,'Privacy Analyst Evaluation'!$A$46:$F$120,4,0),""))&amp;""</f>
      </c>
      <c r="F182" s="208">
        <f>IFERROR(VLOOKUP($B182,'Institution Evaluation'!$A$55:$F$345,6,0),IFERROR(VLOOKUP($B182,'Privacy Analyst Evaluation'!$A$46:$F$120,6,0),""))&amp;""</f>
      </c>
      <c r="G182" s="209"/>
      <c r="H182" s="208" t="str">
        <f>IFERROR(IF($H181+1&gt;'(backend scoring)'!$Q$335,"",$H181+1),"")</f>
      </c>
      <c r="I182" s="208">
        <f>_xlfn.XLOOKUP($H182,'(backend scoring)'!$S$2:$S$333,'(backend scoring)'!$A$2:$A$333,"")</f>
      </c>
      <c r="J182" s="208">
        <f>IFERROR(VLOOKUP($I182,'Institution Evaluation'!$A$55:$F$345,2,0),IFERROR(VLOOKUP($I182,'Privacy Analyst Evaluation'!$A$46:$F$120,2,0),""))</f>
      </c>
      <c r="K182" s="208">
        <f>IFERROR(VLOOKUP($I182,'Institution Evaluation'!$A$55:$F$345,3,0),IFERROR(VLOOKUP($I182,'Privacy Analyst Evaluation'!$A$46:$F$120,3,0),""))&amp;""</f>
      </c>
      <c r="L182" s="208">
        <f>IFERROR(VLOOKUP($I182,'Institution Evaluation'!$A$55:$F$345,4,0),IFERROR(VLOOKUP($I182,'Privacy Analyst Evaluation'!$A$46:$F$120,4,0),""))&amp;""</f>
      </c>
      <c r="M182" s="208">
        <f>IFERROR(VLOOKUP($I182,'Institution Evaluation'!$A$55:$F$345,6,0),IFERROR(VLOOKUP($I182,'Privacy Analyst Evaluation'!$A$46:$F$120,6,0),""))&amp;""</f>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ht="17" x14ac:dyDescent="0.2">
      <c r="A183" s="208" t="str">
        <f>IFERROR(IF($A182+1&gt;'(backend scoring)'!$T$335,"",$A182+1),"")</f>
      </c>
      <c r="B183" s="208">
        <f>_xlfn.XLOOKUP($A183,'(backend scoring)'!$V$2:$V$333,'(backend scoring)'!$A$2:$A$333,"")</f>
      </c>
      <c r="C183" s="208">
        <f>IFERROR(VLOOKUP($B183,'Institution Evaluation'!$A$55:$F$345,2,0),IFERROR(VLOOKUP($B183,'Privacy Analyst Evaluation'!$A$46:$F$120,2,0),""))&amp;""</f>
      </c>
      <c r="D183" s="208">
        <f>IFERROR(VLOOKUP($B183,'Institution Evaluation'!$A$55:$F$345,3,0),IFERROR(VLOOKUP($B183,'Privacy Analyst Evaluation'!$A$46:$F$120,3,0),""))&amp;""</f>
      </c>
      <c r="E183" s="208">
        <f>IFERROR(VLOOKUP($B183,'Institution Evaluation'!$A$55:$F$345,4,0),IFERROR(VLOOKUP($B183,'Privacy Analyst Evaluation'!$A$46:$F$120,4,0),""))&amp;""</f>
      </c>
      <c r="F183" s="208">
        <f>IFERROR(VLOOKUP($B183,'Institution Evaluation'!$A$55:$F$345,6,0),IFERROR(VLOOKUP($B183,'Privacy Analyst Evaluation'!$A$46:$F$120,6,0),""))&amp;""</f>
      </c>
      <c r="G183" s="209"/>
      <c r="H183" s="208" t="str">
        <f>IFERROR(IF($H182+1&gt;'(backend scoring)'!$Q$335,"",$H182+1),"")</f>
      </c>
      <c r="I183" s="208">
        <f>_xlfn.XLOOKUP($H183,'(backend scoring)'!$S$2:$S$333,'(backend scoring)'!$A$2:$A$333,"")</f>
      </c>
      <c r="J183" s="208">
        <f>IFERROR(VLOOKUP($I183,'Institution Evaluation'!$A$55:$F$345,2,0),IFERROR(VLOOKUP($I183,'Privacy Analyst Evaluation'!$A$46:$F$120,2,0),""))</f>
      </c>
      <c r="K183" s="208">
        <f>IFERROR(VLOOKUP($I183,'Institution Evaluation'!$A$55:$F$345,3,0),IFERROR(VLOOKUP($I183,'Privacy Analyst Evaluation'!$A$46:$F$120,3,0),""))&amp;""</f>
      </c>
      <c r="L183" s="208">
        <f>IFERROR(VLOOKUP($I183,'Institution Evaluation'!$A$55:$F$345,4,0),IFERROR(VLOOKUP($I183,'Privacy Analyst Evaluation'!$A$46:$F$120,4,0),""))&amp;""</f>
      </c>
      <c r="M183" s="208">
        <f>IFERROR(VLOOKUP($I183,'Institution Evaluation'!$A$55:$F$345,6,0),IFERROR(VLOOKUP($I183,'Privacy Analyst Evaluation'!$A$46:$F$120,6,0),""))&amp;""</f>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ht="17" x14ac:dyDescent="0.2">
      <c r="A184" s="208" t="str">
        <f>IFERROR(IF($A183+1&gt;'(backend scoring)'!$T$335,"",$A183+1),"")</f>
      </c>
      <c r="B184" s="208">
        <f>_xlfn.XLOOKUP($A184,'(backend scoring)'!$V$2:$V$333,'(backend scoring)'!$A$2:$A$333,"")</f>
      </c>
      <c r="C184" s="208">
        <f>IFERROR(VLOOKUP($B184,'Institution Evaluation'!$A$55:$F$345,2,0),IFERROR(VLOOKUP($B184,'Privacy Analyst Evaluation'!$A$46:$F$120,2,0),""))&amp;""</f>
      </c>
      <c r="D184" s="208">
        <f>IFERROR(VLOOKUP($B184,'Institution Evaluation'!$A$55:$F$345,3,0),IFERROR(VLOOKUP($B184,'Privacy Analyst Evaluation'!$A$46:$F$120,3,0),""))&amp;""</f>
      </c>
      <c r="E184" s="208">
        <f>IFERROR(VLOOKUP($B184,'Institution Evaluation'!$A$55:$F$345,4,0),IFERROR(VLOOKUP($B184,'Privacy Analyst Evaluation'!$A$46:$F$120,4,0),""))&amp;""</f>
      </c>
      <c r="F184" s="208">
        <f>IFERROR(VLOOKUP($B184,'Institution Evaluation'!$A$55:$F$345,6,0),IFERROR(VLOOKUP($B184,'Privacy Analyst Evaluation'!$A$46:$F$120,6,0),""))&amp;""</f>
      </c>
      <c r="G184" s="209"/>
      <c r="H184" s="208" t="str">
        <f>IFERROR(IF($H183+1&gt;'(backend scoring)'!$Q$335,"",$H183+1),"")</f>
      </c>
      <c r="I184" s="208">
        <f>_xlfn.XLOOKUP($H184,'(backend scoring)'!$S$2:$S$333,'(backend scoring)'!$A$2:$A$333,"")</f>
      </c>
      <c r="J184" s="208">
        <f>IFERROR(VLOOKUP($I184,'Institution Evaluation'!$A$55:$F$345,2,0),IFERROR(VLOOKUP($I184,'Privacy Analyst Evaluation'!$A$46:$F$120,2,0),""))</f>
      </c>
      <c r="K184" s="208">
        <f>IFERROR(VLOOKUP($I184,'Institution Evaluation'!$A$55:$F$345,3,0),IFERROR(VLOOKUP($I184,'Privacy Analyst Evaluation'!$A$46:$F$120,3,0),""))&amp;""</f>
      </c>
      <c r="L184" s="208">
        <f>IFERROR(VLOOKUP($I184,'Institution Evaluation'!$A$55:$F$345,4,0),IFERROR(VLOOKUP($I184,'Privacy Analyst Evaluation'!$A$46:$F$120,4,0),""))&amp;""</f>
      </c>
      <c r="M184" s="208">
        <f>IFERROR(VLOOKUP($I184,'Institution Evaluation'!$A$55:$F$345,6,0),IFERROR(VLOOKUP($I184,'Privacy Analyst Evaluation'!$A$46:$F$120,6,0),""))&amp;""</f>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ht="17" x14ac:dyDescent="0.2">
      <c r="A185" s="208" t="str">
        <f>IFERROR(IF($A184+1&gt;'(backend scoring)'!$T$335,"",$A184+1),"")</f>
      </c>
      <c r="B185" s="208">
        <f>_xlfn.XLOOKUP($A185,'(backend scoring)'!$V$2:$V$333,'(backend scoring)'!$A$2:$A$333,"")</f>
      </c>
      <c r="C185" s="208">
        <f>IFERROR(VLOOKUP($B185,'Institution Evaluation'!$A$55:$F$345,2,0),IFERROR(VLOOKUP($B185,'Privacy Analyst Evaluation'!$A$46:$F$120,2,0),""))&amp;""</f>
      </c>
      <c r="D185" s="208">
        <f>IFERROR(VLOOKUP($B185,'Institution Evaluation'!$A$55:$F$345,3,0),IFERROR(VLOOKUP($B185,'Privacy Analyst Evaluation'!$A$46:$F$120,3,0),""))&amp;""</f>
      </c>
      <c r="E185" s="208">
        <f>IFERROR(VLOOKUP($B185,'Institution Evaluation'!$A$55:$F$345,4,0),IFERROR(VLOOKUP($B185,'Privacy Analyst Evaluation'!$A$46:$F$120,4,0),""))&amp;""</f>
      </c>
      <c r="F185" s="208">
        <f>IFERROR(VLOOKUP($B185,'Institution Evaluation'!$A$55:$F$345,6,0),IFERROR(VLOOKUP($B185,'Privacy Analyst Evaluation'!$A$46:$F$120,6,0),""))&amp;""</f>
      </c>
      <c r="G185" s="209"/>
      <c r="H185" s="208" t="str">
        <f>IFERROR(IF($H184+1&gt;'(backend scoring)'!$Q$335,"",$H184+1),"")</f>
      </c>
      <c r="I185" s="208">
        <f>_xlfn.XLOOKUP($H185,'(backend scoring)'!$S$2:$S$333,'(backend scoring)'!$A$2:$A$333,"")</f>
      </c>
      <c r="J185" s="208">
        <f>IFERROR(VLOOKUP($I185,'Institution Evaluation'!$A$55:$F$345,2,0),IFERROR(VLOOKUP($I185,'Privacy Analyst Evaluation'!$A$46:$F$120,2,0),""))</f>
      </c>
      <c r="K185" s="208">
        <f>IFERROR(VLOOKUP($I185,'Institution Evaluation'!$A$55:$F$345,3,0),IFERROR(VLOOKUP($I185,'Privacy Analyst Evaluation'!$A$46:$F$120,3,0),""))&amp;""</f>
      </c>
      <c r="L185" s="208">
        <f>IFERROR(VLOOKUP($I185,'Institution Evaluation'!$A$55:$F$345,4,0),IFERROR(VLOOKUP($I185,'Privacy Analyst Evaluation'!$A$46:$F$120,4,0),""))&amp;""</f>
      </c>
      <c r="M185" s="208">
        <f>IFERROR(VLOOKUP($I185,'Institution Evaluation'!$A$55:$F$345,6,0),IFERROR(VLOOKUP($I185,'Privacy Analyst Evaluation'!$A$46:$F$120,6,0),""))&amp;""</f>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ht="17" x14ac:dyDescent="0.2">
      <c r="A186" s="208" t="str">
        <f>IFERROR(IF($A185+1&gt;'(backend scoring)'!$T$335,"",$A185+1),"")</f>
      </c>
      <c r="B186" s="208">
        <f>_xlfn.XLOOKUP($A186,'(backend scoring)'!$V$2:$V$333,'(backend scoring)'!$A$2:$A$333,"")</f>
      </c>
      <c r="C186" s="208">
        <f>IFERROR(VLOOKUP($B186,'Institution Evaluation'!$A$55:$F$345,2,0),IFERROR(VLOOKUP($B186,'Privacy Analyst Evaluation'!$A$46:$F$120,2,0),""))&amp;""</f>
      </c>
      <c r="D186" s="208">
        <f>IFERROR(VLOOKUP($B186,'Institution Evaluation'!$A$55:$F$345,3,0),IFERROR(VLOOKUP($B186,'Privacy Analyst Evaluation'!$A$46:$F$120,3,0),""))&amp;""</f>
      </c>
      <c r="E186" s="208">
        <f>IFERROR(VLOOKUP($B186,'Institution Evaluation'!$A$55:$F$345,4,0),IFERROR(VLOOKUP($B186,'Privacy Analyst Evaluation'!$A$46:$F$120,4,0),""))&amp;""</f>
      </c>
      <c r="F186" s="208">
        <f>IFERROR(VLOOKUP($B186,'Institution Evaluation'!$A$55:$F$345,6,0),IFERROR(VLOOKUP($B186,'Privacy Analyst Evaluation'!$A$46:$F$120,6,0),""))&amp;""</f>
      </c>
      <c r="G186" s="209"/>
      <c r="H186" s="208" t="str">
        <f>IFERROR(IF($H185+1&gt;'(backend scoring)'!$Q$335,"",$H185+1),"")</f>
      </c>
      <c r="I186" s="208">
        <f>_xlfn.XLOOKUP($H186,'(backend scoring)'!$S$2:$S$333,'(backend scoring)'!$A$2:$A$333,"")</f>
      </c>
      <c r="J186" s="208">
        <f>IFERROR(VLOOKUP($I186,'Institution Evaluation'!$A$55:$F$345,2,0),IFERROR(VLOOKUP($I186,'Privacy Analyst Evaluation'!$A$46:$F$120,2,0),""))</f>
      </c>
      <c r="K186" s="208">
        <f>IFERROR(VLOOKUP($I186,'Institution Evaluation'!$A$55:$F$345,3,0),IFERROR(VLOOKUP($I186,'Privacy Analyst Evaluation'!$A$46:$F$120,3,0),""))&amp;""</f>
      </c>
      <c r="L186" s="208">
        <f>IFERROR(VLOOKUP($I186,'Institution Evaluation'!$A$55:$F$345,4,0),IFERROR(VLOOKUP($I186,'Privacy Analyst Evaluation'!$A$46:$F$120,4,0),""))&amp;""</f>
      </c>
      <c r="M186" s="208">
        <f>IFERROR(VLOOKUP($I186,'Institution Evaluation'!$A$55:$F$345,6,0),IFERROR(VLOOKUP($I186,'Privacy Analyst Evaluation'!$A$46:$F$120,6,0),""))&amp;""</f>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ht="17" x14ac:dyDescent="0.2">
      <c r="A187" s="208" t="str">
        <f>IFERROR(IF($A186+1&gt;'(backend scoring)'!$T$335,"",$A186+1),"")</f>
      </c>
      <c r="B187" s="208">
        <f>_xlfn.XLOOKUP($A187,'(backend scoring)'!$V$2:$V$333,'(backend scoring)'!$A$2:$A$333,"")</f>
      </c>
      <c r="C187" s="208">
        <f>IFERROR(VLOOKUP($B187,'Institution Evaluation'!$A$55:$F$345,2,0),IFERROR(VLOOKUP($B187,'Privacy Analyst Evaluation'!$A$46:$F$120,2,0),""))&amp;""</f>
      </c>
      <c r="D187" s="208">
        <f>IFERROR(VLOOKUP($B187,'Institution Evaluation'!$A$55:$F$345,3,0),IFERROR(VLOOKUP($B187,'Privacy Analyst Evaluation'!$A$46:$F$120,3,0),""))&amp;""</f>
      </c>
      <c r="E187" s="208">
        <f>IFERROR(VLOOKUP($B187,'Institution Evaluation'!$A$55:$F$345,4,0),IFERROR(VLOOKUP($B187,'Privacy Analyst Evaluation'!$A$46:$F$120,4,0),""))&amp;""</f>
      </c>
      <c r="F187" s="208">
        <f>IFERROR(VLOOKUP($B187,'Institution Evaluation'!$A$55:$F$345,6,0),IFERROR(VLOOKUP($B187,'Privacy Analyst Evaluation'!$A$46:$F$120,6,0),""))&amp;""</f>
      </c>
      <c r="G187" s="209"/>
      <c r="H187" s="208" t="str">
        <f>IFERROR(IF($H186+1&gt;'(backend scoring)'!$Q$335,"",$H186+1),"")</f>
      </c>
      <c r="I187" s="208">
        <f>_xlfn.XLOOKUP($H187,'(backend scoring)'!$S$2:$S$333,'(backend scoring)'!$A$2:$A$333,"")</f>
      </c>
      <c r="J187" s="208">
        <f>IFERROR(VLOOKUP($I187,'Institution Evaluation'!$A$55:$F$345,2,0),IFERROR(VLOOKUP($I187,'Privacy Analyst Evaluation'!$A$46:$F$120,2,0),""))</f>
      </c>
      <c r="K187" s="208">
        <f>IFERROR(VLOOKUP($I187,'Institution Evaluation'!$A$55:$F$345,3,0),IFERROR(VLOOKUP($I187,'Privacy Analyst Evaluation'!$A$46:$F$120,3,0),""))&amp;""</f>
      </c>
      <c r="L187" s="208">
        <f>IFERROR(VLOOKUP($I187,'Institution Evaluation'!$A$55:$F$345,4,0),IFERROR(VLOOKUP($I187,'Privacy Analyst Evaluation'!$A$46:$F$120,4,0),""))&amp;""</f>
      </c>
      <c r="M187" s="208">
        <f>IFERROR(VLOOKUP($I187,'Institution Evaluation'!$A$55:$F$345,6,0),IFERROR(VLOOKUP($I187,'Privacy Analyst Evaluation'!$A$46:$F$120,6,0),""))&amp;""</f>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ht="17" x14ac:dyDescent="0.2">
      <c r="A188" s="208" t="str">
        <f>IFERROR(IF($A187+1&gt;'(backend scoring)'!$T$335,"",$A187+1),"")</f>
      </c>
      <c r="B188" s="208">
        <f>_xlfn.XLOOKUP($A188,'(backend scoring)'!$V$2:$V$333,'(backend scoring)'!$A$2:$A$333,"")</f>
      </c>
      <c r="C188" s="208">
        <f>IFERROR(VLOOKUP($B188,'Institution Evaluation'!$A$55:$F$345,2,0),IFERROR(VLOOKUP($B188,'Privacy Analyst Evaluation'!$A$46:$F$120,2,0),""))&amp;""</f>
      </c>
      <c r="D188" s="208">
        <f>IFERROR(VLOOKUP($B188,'Institution Evaluation'!$A$55:$F$345,3,0),IFERROR(VLOOKUP($B188,'Privacy Analyst Evaluation'!$A$46:$F$120,3,0),""))&amp;""</f>
      </c>
      <c r="E188" s="208">
        <f>IFERROR(VLOOKUP($B188,'Institution Evaluation'!$A$55:$F$345,4,0),IFERROR(VLOOKUP($B188,'Privacy Analyst Evaluation'!$A$46:$F$120,4,0),""))&amp;""</f>
      </c>
      <c r="F188" s="208">
        <f>IFERROR(VLOOKUP($B188,'Institution Evaluation'!$A$55:$F$345,6,0),IFERROR(VLOOKUP($B188,'Privacy Analyst Evaluation'!$A$46:$F$120,6,0),""))&amp;""</f>
      </c>
      <c r="G188" s="209"/>
      <c r="H188" s="208" t="str">
        <f>IFERROR(IF($H187+1&gt;'(backend scoring)'!$Q$335,"",$H187+1),"")</f>
      </c>
      <c r="I188" s="208">
        <f>_xlfn.XLOOKUP($H188,'(backend scoring)'!$S$2:$S$333,'(backend scoring)'!$A$2:$A$333,"")</f>
      </c>
      <c r="J188" s="208">
        <f>IFERROR(VLOOKUP($I188,'Institution Evaluation'!$A$55:$F$345,2,0),IFERROR(VLOOKUP($I188,'Privacy Analyst Evaluation'!$A$46:$F$120,2,0),""))</f>
      </c>
      <c r="K188" s="208">
        <f>IFERROR(VLOOKUP($I188,'Institution Evaluation'!$A$55:$F$345,3,0),IFERROR(VLOOKUP($I188,'Privacy Analyst Evaluation'!$A$46:$F$120,3,0),""))&amp;""</f>
      </c>
      <c r="L188" s="208">
        <f>IFERROR(VLOOKUP($I188,'Institution Evaluation'!$A$55:$F$345,4,0),IFERROR(VLOOKUP($I188,'Privacy Analyst Evaluation'!$A$46:$F$120,4,0),""))&amp;""</f>
      </c>
      <c r="M188" s="208">
        <f>IFERROR(VLOOKUP($I188,'Institution Evaluation'!$A$55:$F$345,6,0),IFERROR(VLOOKUP($I188,'Privacy Analyst Evaluation'!$A$46:$F$120,6,0),""))&amp;""</f>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ht="17" x14ac:dyDescent="0.2">
      <c r="A189" s="208" t="str">
        <f>IFERROR(IF($A188+1&gt;'(backend scoring)'!$T$335,"",$A188+1),"")</f>
      </c>
      <c r="B189" s="208">
        <f>_xlfn.XLOOKUP($A189,'(backend scoring)'!$V$2:$V$333,'(backend scoring)'!$A$2:$A$333,"")</f>
      </c>
      <c r="C189" s="208">
        <f>IFERROR(VLOOKUP($B189,'Institution Evaluation'!$A$55:$F$345,2,0),IFERROR(VLOOKUP($B189,'Privacy Analyst Evaluation'!$A$46:$F$120,2,0),""))&amp;""</f>
      </c>
      <c r="D189" s="208">
        <f>IFERROR(VLOOKUP($B189,'Institution Evaluation'!$A$55:$F$345,3,0),IFERROR(VLOOKUP($B189,'Privacy Analyst Evaluation'!$A$46:$F$120,3,0),""))&amp;""</f>
      </c>
      <c r="E189" s="208">
        <f>IFERROR(VLOOKUP($B189,'Institution Evaluation'!$A$55:$F$345,4,0),IFERROR(VLOOKUP($B189,'Privacy Analyst Evaluation'!$A$46:$F$120,4,0),""))&amp;""</f>
      </c>
      <c r="F189" s="208">
        <f>IFERROR(VLOOKUP($B189,'Institution Evaluation'!$A$55:$F$345,6,0),IFERROR(VLOOKUP($B189,'Privacy Analyst Evaluation'!$A$46:$F$120,6,0),""))&amp;""</f>
      </c>
      <c r="G189" s="209"/>
      <c r="H189" s="208" t="str">
        <f>IFERROR(IF($H188+1&gt;'(backend scoring)'!$Q$335,"",$H188+1),"")</f>
      </c>
      <c r="I189" s="208">
        <f>_xlfn.XLOOKUP($H189,'(backend scoring)'!$S$2:$S$333,'(backend scoring)'!$A$2:$A$333,"")</f>
      </c>
      <c r="J189" s="208">
        <f>IFERROR(VLOOKUP($I189,'Institution Evaluation'!$A$55:$F$345,2,0),IFERROR(VLOOKUP($I189,'Privacy Analyst Evaluation'!$A$46:$F$120,2,0),""))</f>
      </c>
      <c r="K189" s="208">
        <f>IFERROR(VLOOKUP($I189,'Institution Evaluation'!$A$55:$F$345,3,0),IFERROR(VLOOKUP($I189,'Privacy Analyst Evaluation'!$A$46:$F$120,3,0),""))&amp;""</f>
      </c>
      <c r="L189" s="208">
        <f>IFERROR(VLOOKUP($I189,'Institution Evaluation'!$A$55:$F$345,4,0),IFERROR(VLOOKUP($I189,'Privacy Analyst Evaluation'!$A$46:$F$120,4,0),""))&amp;""</f>
      </c>
      <c r="M189" s="208">
        <f>IFERROR(VLOOKUP($I189,'Institution Evaluation'!$A$55:$F$345,6,0),IFERROR(VLOOKUP($I189,'Privacy Analyst Evaluation'!$A$46:$F$120,6,0),""))&amp;""</f>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ht="17" x14ac:dyDescent="0.2">
      <c r="A190" s="208" t="str">
        <f>IFERROR(IF($A189+1&gt;'(backend scoring)'!$T$335,"",$A189+1),"")</f>
      </c>
      <c r="B190" s="208">
        <f>_xlfn.XLOOKUP($A190,'(backend scoring)'!$V$2:$V$333,'(backend scoring)'!$A$2:$A$333,"")</f>
      </c>
      <c r="C190" s="208">
        <f>IFERROR(VLOOKUP($B190,'Institution Evaluation'!$A$55:$F$345,2,0),IFERROR(VLOOKUP($B190,'Privacy Analyst Evaluation'!$A$46:$F$120,2,0),""))&amp;""</f>
      </c>
      <c r="D190" s="208">
        <f>IFERROR(VLOOKUP($B190,'Institution Evaluation'!$A$55:$F$345,3,0),IFERROR(VLOOKUP($B190,'Privacy Analyst Evaluation'!$A$46:$F$120,3,0),""))&amp;""</f>
      </c>
      <c r="E190" s="208">
        <f>IFERROR(VLOOKUP($B190,'Institution Evaluation'!$A$55:$F$345,4,0),IFERROR(VLOOKUP($B190,'Privacy Analyst Evaluation'!$A$46:$F$120,4,0),""))&amp;""</f>
      </c>
      <c r="F190" s="208">
        <f>IFERROR(VLOOKUP($B190,'Institution Evaluation'!$A$55:$F$345,6,0),IFERROR(VLOOKUP($B190,'Privacy Analyst Evaluation'!$A$46:$F$120,6,0),""))&amp;""</f>
      </c>
      <c r="G190" s="209"/>
      <c r="H190" s="208" t="str">
        <f>IFERROR(IF($H189+1&gt;'(backend scoring)'!$Q$335,"",$H189+1),"")</f>
      </c>
      <c r="I190" s="208">
        <f>_xlfn.XLOOKUP($H190,'(backend scoring)'!$S$2:$S$333,'(backend scoring)'!$A$2:$A$333,"")</f>
      </c>
      <c r="J190" s="208">
        <f>IFERROR(VLOOKUP($I190,'Institution Evaluation'!$A$55:$F$345,2,0),IFERROR(VLOOKUP($I190,'Privacy Analyst Evaluation'!$A$46:$F$120,2,0),""))</f>
      </c>
      <c r="K190" s="208">
        <f>IFERROR(VLOOKUP($I190,'Institution Evaluation'!$A$55:$F$345,3,0),IFERROR(VLOOKUP($I190,'Privacy Analyst Evaluation'!$A$46:$F$120,3,0),""))&amp;""</f>
      </c>
      <c r="L190" s="208">
        <f>IFERROR(VLOOKUP($I190,'Institution Evaluation'!$A$55:$F$345,4,0),IFERROR(VLOOKUP($I190,'Privacy Analyst Evaluation'!$A$46:$F$120,4,0),""))&amp;""</f>
      </c>
      <c r="M190" s="208">
        <f>IFERROR(VLOOKUP($I190,'Institution Evaluation'!$A$55:$F$345,6,0),IFERROR(VLOOKUP($I190,'Privacy Analyst Evaluation'!$A$46:$F$120,6,0),""))&amp;""</f>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ht="17" x14ac:dyDescent="0.2">
      <c r="A191" s="208" t="str">
        <f>IFERROR(IF($A190+1&gt;'(backend scoring)'!$T$335,"",$A190+1),"")</f>
      </c>
      <c r="B191" s="208">
        <f>_xlfn.XLOOKUP($A191,'(backend scoring)'!$V$2:$V$333,'(backend scoring)'!$A$2:$A$333,"")</f>
      </c>
      <c r="C191" s="208">
        <f>IFERROR(VLOOKUP($B191,'Institution Evaluation'!$A$55:$F$345,2,0),IFERROR(VLOOKUP($B191,'Privacy Analyst Evaluation'!$A$46:$F$120,2,0),""))&amp;""</f>
      </c>
      <c r="D191" s="208">
        <f>IFERROR(VLOOKUP($B191,'Institution Evaluation'!$A$55:$F$345,3,0),IFERROR(VLOOKUP($B191,'Privacy Analyst Evaluation'!$A$46:$F$120,3,0),""))&amp;""</f>
      </c>
      <c r="E191" s="208">
        <f>IFERROR(VLOOKUP($B191,'Institution Evaluation'!$A$55:$F$345,4,0),IFERROR(VLOOKUP($B191,'Privacy Analyst Evaluation'!$A$46:$F$120,4,0),""))&amp;""</f>
      </c>
      <c r="F191" s="208">
        <f>IFERROR(VLOOKUP($B191,'Institution Evaluation'!$A$55:$F$345,6,0),IFERROR(VLOOKUP($B191,'Privacy Analyst Evaluation'!$A$46:$F$120,6,0),""))&amp;""</f>
      </c>
      <c r="G191" s="209"/>
      <c r="H191" s="208" t="str">
        <f>IFERROR(IF($H190+1&gt;'(backend scoring)'!$Q$335,"",$H190+1),"")</f>
      </c>
      <c r="I191" s="208">
        <f>_xlfn.XLOOKUP($H191,'(backend scoring)'!$S$2:$S$333,'(backend scoring)'!$A$2:$A$333,"")</f>
      </c>
      <c r="J191" s="208">
        <f>IFERROR(VLOOKUP($I191,'Institution Evaluation'!$A$55:$F$345,2,0),IFERROR(VLOOKUP($I191,'Privacy Analyst Evaluation'!$A$46:$F$120,2,0),""))</f>
      </c>
      <c r="K191" s="208">
        <f>IFERROR(VLOOKUP($I191,'Institution Evaluation'!$A$55:$F$345,3,0),IFERROR(VLOOKUP($I191,'Privacy Analyst Evaluation'!$A$46:$F$120,3,0),""))&amp;""</f>
      </c>
      <c r="L191" s="208">
        <f>IFERROR(VLOOKUP($I191,'Institution Evaluation'!$A$55:$F$345,4,0),IFERROR(VLOOKUP($I191,'Privacy Analyst Evaluation'!$A$46:$F$120,4,0),""))&amp;""</f>
      </c>
      <c r="M191" s="208">
        <f>IFERROR(VLOOKUP($I191,'Institution Evaluation'!$A$55:$F$345,6,0),IFERROR(VLOOKUP($I191,'Privacy Analyst Evaluation'!$A$46:$F$120,6,0),""))&amp;""</f>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ht="17" x14ac:dyDescent="0.2">
      <c r="A192" s="208" t="str">
        <f>IFERROR(IF($A191+1&gt;'(backend scoring)'!$T$335,"",$A191+1),"")</f>
      </c>
      <c r="B192" s="208">
        <f>_xlfn.XLOOKUP($A192,'(backend scoring)'!$V$2:$V$333,'(backend scoring)'!$A$2:$A$333,"")</f>
      </c>
      <c r="C192" s="208">
        <f>IFERROR(VLOOKUP($B192,'Institution Evaluation'!$A$55:$F$345,2,0),IFERROR(VLOOKUP($B192,'Privacy Analyst Evaluation'!$A$46:$F$120,2,0),""))&amp;""</f>
      </c>
      <c r="D192" s="208">
        <f>IFERROR(VLOOKUP($B192,'Institution Evaluation'!$A$55:$F$345,3,0),IFERROR(VLOOKUP($B192,'Privacy Analyst Evaluation'!$A$46:$F$120,3,0),""))&amp;""</f>
      </c>
      <c r="E192" s="208">
        <f>IFERROR(VLOOKUP($B192,'Institution Evaluation'!$A$55:$F$345,4,0),IFERROR(VLOOKUP($B192,'Privacy Analyst Evaluation'!$A$46:$F$120,4,0),""))&amp;""</f>
      </c>
      <c r="F192" s="208">
        <f>IFERROR(VLOOKUP($B192,'Institution Evaluation'!$A$55:$F$345,6,0),IFERROR(VLOOKUP($B192,'Privacy Analyst Evaluation'!$A$46:$F$120,6,0),""))&amp;""</f>
      </c>
      <c r="G192" s="209"/>
      <c r="H192" s="208" t="str">
        <f>IFERROR(IF($H191+1&gt;'(backend scoring)'!$Q$335,"",$H191+1),"")</f>
      </c>
      <c r="I192" s="208">
        <f>_xlfn.XLOOKUP($H192,'(backend scoring)'!$S$2:$S$333,'(backend scoring)'!$A$2:$A$333,"")</f>
      </c>
      <c r="J192" s="208">
        <f>IFERROR(VLOOKUP($I192,'Institution Evaluation'!$A$55:$F$345,2,0),IFERROR(VLOOKUP($I192,'Privacy Analyst Evaluation'!$A$46:$F$120,2,0),""))</f>
      </c>
      <c r="K192" s="208">
        <f>IFERROR(VLOOKUP($I192,'Institution Evaluation'!$A$55:$F$345,3,0),IFERROR(VLOOKUP($I192,'Privacy Analyst Evaluation'!$A$46:$F$120,3,0),""))&amp;""</f>
      </c>
      <c r="L192" s="208">
        <f>IFERROR(VLOOKUP($I192,'Institution Evaluation'!$A$55:$F$345,4,0),IFERROR(VLOOKUP($I192,'Privacy Analyst Evaluation'!$A$46:$F$120,4,0),""))&amp;""</f>
      </c>
      <c r="M192" s="208">
        <f>IFERROR(VLOOKUP($I192,'Institution Evaluation'!$A$55:$F$345,6,0),IFERROR(VLOOKUP($I192,'Privacy Analyst Evaluation'!$A$46:$F$120,6,0),""))&amp;""</f>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ht="17" x14ac:dyDescent="0.2">
      <c r="A193" s="208" t="str">
        <f>IFERROR(IF($A192+1&gt;'(backend scoring)'!$T$335,"",$A192+1),"")</f>
      </c>
      <c r="B193" s="208">
        <f>_xlfn.XLOOKUP($A193,'(backend scoring)'!$V$2:$V$333,'(backend scoring)'!$A$2:$A$333,"")</f>
      </c>
      <c r="C193" s="208">
        <f>IFERROR(VLOOKUP($B193,'Institution Evaluation'!$A$55:$F$345,2,0),IFERROR(VLOOKUP($B193,'Privacy Analyst Evaluation'!$A$46:$F$120,2,0),""))&amp;""</f>
      </c>
      <c r="D193" s="208">
        <f>IFERROR(VLOOKUP($B193,'Institution Evaluation'!$A$55:$F$345,3,0),IFERROR(VLOOKUP($B193,'Privacy Analyst Evaluation'!$A$46:$F$120,3,0),""))&amp;""</f>
      </c>
      <c r="E193" s="208">
        <f>IFERROR(VLOOKUP($B193,'Institution Evaluation'!$A$55:$F$345,4,0),IFERROR(VLOOKUP($B193,'Privacy Analyst Evaluation'!$A$46:$F$120,4,0),""))&amp;""</f>
      </c>
      <c r="F193" s="208">
        <f>IFERROR(VLOOKUP($B193,'Institution Evaluation'!$A$55:$F$345,6,0),IFERROR(VLOOKUP($B193,'Privacy Analyst Evaluation'!$A$46:$F$120,6,0),""))&amp;""</f>
      </c>
      <c r="G193" s="209"/>
      <c r="H193" s="208" t="str">
        <f>IFERROR(IF($H192+1&gt;'(backend scoring)'!$Q$335,"",$H192+1),"")</f>
      </c>
      <c r="I193" s="208">
        <f>_xlfn.XLOOKUP($H193,'(backend scoring)'!$S$2:$S$333,'(backend scoring)'!$A$2:$A$333,"")</f>
      </c>
      <c r="J193" s="208">
        <f>IFERROR(VLOOKUP($I193,'Institution Evaluation'!$A$55:$F$345,2,0),IFERROR(VLOOKUP($I193,'Privacy Analyst Evaluation'!$A$46:$F$120,2,0),""))</f>
      </c>
      <c r="K193" s="208">
        <f>IFERROR(VLOOKUP($I193,'Institution Evaluation'!$A$55:$F$345,3,0),IFERROR(VLOOKUP($I193,'Privacy Analyst Evaluation'!$A$46:$F$120,3,0),""))&amp;""</f>
      </c>
      <c r="L193" s="208">
        <f>IFERROR(VLOOKUP($I193,'Institution Evaluation'!$A$55:$F$345,4,0),IFERROR(VLOOKUP($I193,'Privacy Analyst Evaluation'!$A$46:$F$120,4,0),""))&amp;""</f>
      </c>
      <c r="M193" s="208">
        <f>IFERROR(VLOOKUP($I193,'Institution Evaluation'!$A$55:$F$345,6,0),IFERROR(VLOOKUP($I193,'Privacy Analyst Evaluation'!$A$46:$F$120,6,0),""))&amp;""</f>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ht="17" x14ac:dyDescent="0.2">
      <c r="A194" s="208" t="str">
        <f>IFERROR(IF($A193+1&gt;'(backend scoring)'!$T$335,"",$A193+1),"")</f>
      </c>
      <c r="B194" s="208">
        <f>_xlfn.XLOOKUP($A194,'(backend scoring)'!$V$2:$V$333,'(backend scoring)'!$A$2:$A$333,"")</f>
      </c>
      <c r="C194" s="208">
        <f>IFERROR(VLOOKUP($B194,'Institution Evaluation'!$A$55:$F$345,2,0),IFERROR(VLOOKUP($B194,'Privacy Analyst Evaluation'!$A$46:$F$120,2,0),""))&amp;""</f>
      </c>
      <c r="D194" s="208">
        <f>IFERROR(VLOOKUP($B194,'Institution Evaluation'!$A$55:$F$345,3,0),IFERROR(VLOOKUP($B194,'Privacy Analyst Evaluation'!$A$46:$F$120,3,0),""))&amp;""</f>
      </c>
      <c r="E194" s="208">
        <f>IFERROR(VLOOKUP($B194,'Institution Evaluation'!$A$55:$F$345,4,0),IFERROR(VLOOKUP($B194,'Privacy Analyst Evaluation'!$A$46:$F$120,4,0),""))&amp;""</f>
      </c>
      <c r="F194" s="208">
        <f>IFERROR(VLOOKUP($B194,'Institution Evaluation'!$A$55:$F$345,6,0),IFERROR(VLOOKUP($B194,'Privacy Analyst Evaluation'!$A$46:$F$120,6,0),""))&amp;""</f>
      </c>
      <c r="G194" s="209"/>
      <c r="H194" s="208" t="str">
        <f>IFERROR(IF($H193+1&gt;'(backend scoring)'!$Q$335,"",$H193+1),"")</f>
      </c>
      <c r="I194" s="208">
        <f>_xlfn.XLOOKUP($H194,'(backend scoring)'!$S$2:$S$333,'(backend scoring)'!$A$2:$A$333,"")</f>
      </c>
      <c r="J194" s="208">
        <f>IFERROR(VLOOKUP($I194,'Institution Evaluation'!$A$55:$F$345,2,0),IFERROR(VLOOKUP($I194,'Privacy Analyst Evaluation'!$A$46:$F$120,2,0),""))</f>
      </c>
      <c r="K194" s="208">
        <f>IFERROR(VLOOKUP($I194,'Institution Evaluation'!$A$55:$F$345,3,0),IFERROR(VLOOKUP($I194,'Privacy Analyst Evaluation'!$A$46:$F$120,3,0),""))&amp;""</f>
      </c>
      <c r="L194" s="208">
        <f>IFERROR(VLOOKUP($I194,'Institution Evaluation'!$A$55:$F$345,4,0),IFERROR(VLOOKUP($I194,'Privacy Analyst Evaluation'!$A$46:$F$120,4,0),""))&amp;""</f>
      </c>
      <c r="M194" s="208">
        <f>IFERROR(VLOOKUP($I194,'Institution Evaluation'!$A$55:$F$345,6,0),IFERROR(VLOOKUP($I194,'Privacy Analyst Evaluation'!$A$46:$F$120,6,0),""))&amp;""</f>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ht="17" x14ac:dyDescent="0.2">
      <c r="A195" s="208" t="str">
        <f>IFERROR(IF($A194+1&gt;'(backend scoring)'!$T$335,"",$A194+1),"")</f>
      </c>
      <c r="B195" s="208">
        <f>_xlfn.XLOOKUP($A195,'(backend scoring)'!$V$2:$V$333,'(backend scoring)'!$A$2:$A$333,"")</f>
      </c>
      <c r="C195" s="208">
        <f>IFERROR(VLOOKUP($B195,'Institution Evaluation'!$A$55:$F$345,2,0),IFERROR(VLOOKUP($B195,'Privacy Analyst Evaluation'!$A$46:$F$120,2,0),""))&amp;""</f>
      </c>
      <c r="D195" s="208">
        <f>IFERROR(VLOOKUP($B195,'Institution Evaluation'!$A$55:$F$345,3,0),IFERROR(VLOOKUP($B195,'Privacy Analyst Evaluation'!$A$46:$F$120,3,0),""))&amp;""</f>
      </c>
      <c r="E195" s="208">
        <f>IFERROR(VLOOKUP($B195,'Institution Evaluation'!$A$55:$F$345,4,0),IFERROR(VLOOKUP($B195,'Privacy Analyst Evaluation'!$A$46:$F$120,4,0),""))&amp;""</f>
      </c>
      <c r="F195" s="208">
        <f>IFERROR(VLOOKUP($B195,'Institution Evaluation'!$A$55:$F$345,6,0),IFERROR(VLOOKUP($B195,'Privacy Analyst Evaluation'!$A$46:$F$120,6,0),""))&amp;""</f>
      </c>
      <c r="G195" s="209"/>
      <c r="H195" s="208" t="str">
        <f>IFERROR(IF($H194+1&gt;'(backend scoring)'!$Q$335,"",$H194+1),"")</f>
      </c>
      <c r="I195" s="208">
        <f>_xlfn.XLOOKUP($H195,'(backend scoring)'!$S$2:$S$333,'(backend scoring)'!$A$2:$A$333,"")</f>
      </c>
      <c r="J195" s="208">
        <f>IFERROR(VLOOKUP($I195,'Institution Evaluation'!$A$55:$F$345,2,0),IFERROR(VLOOKUP($I195,'Privacy Analyst Evaluation'!$A$46:$F$120,2,0),""))</f>
      </c>
      <c r="K195" s="208">
        <f>IFERROR(VLOOKUP($I195,'Institution Evaluation'!$A$55:$F$345,3,0),IFERROR(VLOOKUP($I195,'Privacy Analyst Evaluation'!$A$46:$F$120,3,0),""))&amp;""</f>
      </c>
      <c r="L195" s="208">
        <f>IFERROR(VLOOKUP($I195,'Institution Evaluation'!$A$55:$F$345,4,0),IFERROR(VLOOKUP($I195,'Privacy Analyst Evaluation'!$A$46:$F$120,4,0),""))&amp;""</f>
      </c>
      <c r="M195" s="208">
        <f>IFERROR(VLOOKUP($I195,'Institution Evaluation'!$A$55:$F$345,6,0),IFERROR(VLOOKUP($I195,'Privacy Analyst Evaluation'!$A$46:$F$120,6,0),""))&amp;""</f>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ht="17" x14ac:dyDescent="0.2">
      <c r="A196" s="208" t="str">
        <f>IFERROR(IF($A195+1&gt;'(backend scoring)'!$T$335,"",$A195+1),"")</f>
      </c>
      <c r="B196" s="208">
        <f>_xlfn.XLOOKUP($A196,'(backend scoring)'!$V$2:$V$333,'(backend scoring)'!$A$2:$A$333,"")</f>
      </c>
      <c r="C196" s="208">
        <f>IFERROR(VLOOKUP($B196,'Institution Evaluation'!$A$55:$F$345,2,0),IFERROR(VLOOKUP($B196,'Privacy Analyst Evaluation'!$A$46:$F$120,2,0),""))&amp;""</f>
      </c>
      <c r="D196" s="208">
        <f>IFERROR(VLOOKUP($B196,'Institution Evaluation'!$A$55:$F$345,3,0),IFERROR(VLOOKUP($B196,'Privacy Analyst Evaluation'!$A$46:$F$120,3,0),""))&amp;""</f>
      </c>
      <c r="E196" s="208">
        <f>IFERROR(VLOOKUP($B196,'Institution Evaluation'!$A$55:$F$345,4,0),IFERROR(VLOOKUP($B196,'Privacy Analyst Evaluation'!$A$46:$F$120,4,0),""))&amp;""</f>
      </c>
      <c r="F196" s="208">
        <f>IFERROR(VLOOKUP($B196,'Institution Evaluation'!$A$55:$F$345,6,0),IFERROR(VLOOKUP($B196,'Privacy Analyst Evaluation'!$A$46:$F$120,6,0),""))&amp;""</f>
      </c>
      <c r="G196" s="209"/>
      <c r="H196" s="208" t="str">
        <f>IFERROR(IF($H195+1&gt;'(backend scoring)'!$Q$335,"",$H195+1),"")</f>
      </c>
      <c r="I196" s="208">
        <f>_xlfn.XLOOKUP($H196,'(backend scoring)'!$S$2:$S$333,'(backend scoring)'!$A$2:$A$333,"")</f>
      </c>
      <c r="J196" s="208">
        <f>IFERROR(VLOOKUP($I196,'Institution Evaluation'!$A$55:$F$345,2,0),IFERROR(VLOOKUP($I196,'Privacy Analyst Evaluation'!$A$46:$F$120,2,0),""))</f>
      </c>
      <c r="K196" s="208">
        <f>IFERROR(VLOOKUP($I196,'Institution Evaluation'!$A$55:$F$345,3,0),IFERROR(VLOOKUP($I196,'Privacy Analyst Evaluation'!$A$46:$F$120,3,0),""))&amp;""</f>
      </c>
      <c r="L196" s="208">
        <f>IFERROR(VLOOKUP($I196,'Institution Evaluation'!$A$55:$F$345,4,0),IFERROR(VLOOKUP($I196,'Privacy Analyst Evaluation'!$A$46:$F$120,4,0),""))&amp;""</f>
      </c>
      <c r="M196" s="208">
        <f>IFERROR(VLOOKUP($I196,'Institution Evaluation'!$A$55:$F$345,6,0),IFERROR(VLOOKUP($I196,'Privacy Analyst Evaluation'!$A$46:$F$120,6,0),""))&amp;""</f>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ht="17" x14ac:dyDescent="0.2">
      <c r="A197" s="208" t="str">
        <f>IFERROR(IF($A196+1&gt;'(backend scoring)'!$T$335,"",$A196+1),"")</f>
      </c>
      <c r="B197" s="208">
        <f>_xlfn.XLOOKUP($A197,'(backend scoring)'!$V$2:$V$333,'(backend scoring)'!$A$2:$A$333,"")</f>
      </c>
      <c r="C197" s="208">
        <f>IFERROR(VLOOKUP($B197,'Institution Evaluation'!$A$55:$F$345,2,0),IFERROR(VLOOKUP($B197,'Privacy Analyst Evaluation'!$A$46:$F$120,2,0),""))&amp;""</f>
      </c>
      <c r="D197" s="208">
        <f>IFERROR(VLOOKUP($B197,'Institution Evaluation'!$A$55:$F$345,3,0),IFERROR(VLOOKUP($B197,'Privacy Analyst Evaluation'!$A$46:$F$120,3,0),""))&amp;""</f>
      </c>
      <c r="E197" s="208">
        <f>IFERROR(VLOOKUP($B197,'Institution Evaluation'!$A$55:$F$345,4,0),IFERROR(VLOOKUP($B197,'Privacy Analyst Evaluation'!$A$46:$F$120,4,0),""))&amp;""</f>
      </c>
      <c r="F197" s="208">
        <f>IFERROR(VLOOKUP($B197,'Institution Evaluation'!$A$55:$F$345,6,0),IFERROR(VLOOKUP($B197,'Privacy Analyst Evaluation'!$A$46:$F$120,6,0),""))&amp;""</f>
      </c>
      <c r="G197" s="209"/>
      <c r="H197" s="208" t="str">
        <f>IFERROR(IF($H196+1&gt;'(backend scoring)'!$Q$335,"",$H196+1),"")</f>
      </c>
      <c r="I197" s="208">
        <f>_xlfn.XLOOKUP($H197,'(backend scoring)'!$S$2:$S$333,'(backend scoring)'!$A$2:$A$333,"")</f>
      </c>
      <c r="J197" s="208">
        <f>IFERROR(VLOOKUP($I197,'Institution Evaluation'!$A$55:$F$345,2,0),IFERROR(VLOOKUP($I197,'Privacy Analyst Evaluation'!$A$46:$F$120,2,0),""))</f>
      </c>
      <c r="K197" s="208">
        <f>IFERROR(VLOOKUP($I197,'Institution Evaluation'!$A$55:$F$345,3,0),IFERROR(VLOOKUP($I197,'Privacy Analyst Evaluation'!$A$46:$F$120,3,0),""))&amp;""</f>
      </c>
      <c r="L197" s="208">
        <f>IFERROR(VLOOKUP($I197,'Institution Evaluation'!$A$55:$F$345,4,0),IFERROR(VLOOKUP($I197,'Privacy Analyst Evaluation'!$A$46:$F$120,4,0),""))&amp;""</f>
      </c>
      <c r="M197" s="208">
        <f>IFERROR(VLOOKUP($I197,'Institution Evaluation'!$A$55:$F$345,6,0),IFERROR(VLOOKUP($I197,'Privacy Analyst Evaluation'!$A$46:$F$120,6,0),""))&amp;""</f>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ht="17" x14ac:dyDescent="0.2">
      <c r="A198" s="208" t="str">
        <f>IFERROR(IF($A197+1&gt;'(backend scoring)'!$T$335,"",$A197+1),"")</f>
      </c>
      <c r="B198" s="208">
        <f>_xlfn.XLOOKUP($A198,'(backend scoring)'!$V$2:$V$333,'(backend scoring)'!$A$2:$A$333,"")</f>
      </c>
      <c r="C198" s="208">
        <f>IFERROR(VLOOKUP($B198,'Institution Evaluation'!$A$55:$F$345,2,0),IFERROR(VLOOKUP($B198,'Privacy Analyst Evaluation'!$A$46:$F$120,2,0),""))&amp;""</f>
      </c>
      <c r="D198" s="208">
        <f>IFERROR(VLOOKUP($B198,'Institution Evaluation'!$A$55:$F$345,3,0),IFERROR(VLOOKUP($B198,'Privacy Analyst Evaluation'!$A$46:$F$120,3,0),""))&amp;""</f>
      </c>
      <c r="E198" s="208">
        <f>IFERROR(VLOOKUP($B198,'Institution Evaluation'!$A$55:$F$345,4,0),IFERROR(VLOOKUP($B198,'Privacy Analyst Evaluation'!$A$46:$F$120,4,0),""))&amp;""</f>
      </c>
      <c r="F198" s="208">
        <f>IFERROR(VLOOKUP($B198,'Institution Evaluation'!$A$55:$F$345,6,0),IFERROR(VLOOKUP($B198,'Privacy Analyst Evaluation'!$A$46:$F$120,6,0),""))&amp;""</f>
      </c>
      <c r="G198" s="209"/>
      <c r="H198" s="208" t="str">
        <f>IFERROR(IF($H197+1&gt;'(backend scoring)'!$Q$335,"",$H197+1),"")</f>
      </c>
      <c r="I198" s="208">
        <f>_xlfn.XLOOKUP($H198,'(backend scoring)'!$S$2:$S$333,'(backend scoring)'!$A$2:$A$333,"")</f>
      </c>
      <c r="J198" s="208">
        <f>IFERROR(VLOOKUP($I198,'Institution Evaluation'!$A$55:$F$345,2,0),IFERROR(VLOOKUP($I198,'Privacy Analyst Evaluation'!$A$46:$F$120,2,0),""))</f>
      </c>
      <c r="K198" s="208">
        <f>IFERROR(VLOOKUP($I198,'Institution Evaluation'!$A$55:$F$345,3,0),IFERROR(VLOOKUP($I198,'Privacy Analyst Evaluation'!$A$46:$F$120,3,0),""))&amp;""</f>
      </c>
      <c r="L198" s="208">
        <f>IFERROR(VLOOKUP($I198,'Institution Evaluation'!$A$55:$F$345,4,0),IFERROR(VLOOKUP($I198,'Privacy Analyst Evaluation'!$A$46:$F$120,4,0),""))&amp;""</f>
      </c>
      <c r="M198" s="208">
        <f>IFERROR(VLOOKUP($I198,'Institution Evaluation'!$A$55:$F$345,6,0),IFERROR(VLOOKUP($I198,'Privacy Analyst Evaluation'!$A$46:$F$120,6,0),""))&amp;""</f>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ht="17" x14ac:dyDescent="0.2">
      <c r="A199" s="208" t="str">
        <f>IFERROR(IF($A198+1&gt;'(backend scoring)'!$T$335,"",$A198+1),"")</f>
      </c>
      <c r="B199" s="208">
        <f>_xlfn.XLOOKUP($A199,'(backend scoring)'!$V$2:$V$333,'(backend scoring)'!$A$2:$A$333,"")</f>
      </c>
      <c r="C199" s="208">
        <f>IFERROR(VLOOKUP($B199,'Institution Evaluation'!$A$55:$F$345,2,0),IFERROR(VLOOKUP($B199,'Privacy Analyst Evaluation'!$A$46:$F$120,2,0),""))&amp;""</f>
      </c>
      <c r="D199" s="208">
        <f>IFERROR(VLOOKUP($B199,'Institution Evaluation'!$A$55:$F$345,3,0),IFERROR(VLOOKUP($B199,'Privacy Analyst Evaluation'!$A$46:$F$120,3,0),""))&amp;""</f>
      </c>
      <c r="E199" s="208">
        <f>IFERROR(VLOOKUP($B199,'Institution Evaluation'!$A$55:$F$345,4,0),IFERROR(VLOOKUP($B199,'Privacy Analyst Evaluation'!$A$46:$F$120,4,0),""))&amp;""</f>
      </c>
      <c r="F199" s="208">
        <f>IFERROR(VLOOKUP($B199,'Institution Evaluation'!$A$55:$F$345,6,0),IFERROR(VLOOKUP($B199,'Privacy Analyst Evaluation'!$A$46:$F$120,6,0),""))&amp;""</f>
      </c>
      <c r="G199" s="209"/>
      <c r="H199" s="208" t="str">
        <f>IFERROR(IF($H198+1&gt;'(backend scoring)'!$Q$335,"",$H198+1),"")</f>
      </c>
      <c r="I199" s="208">
        <f>_xlfn.XLOOKUP($H199,'(backend scoring)'!$S$2:$S$333,'(backend scoring)'!$A$2:$A$333,"")</f>
      </c>
      <c r="J199" s="208">
        <f>IFERROR(VLOOKUP($I199,'Institution Evaluation'!$A$55:$F$345,2,0),IFERROR(VLOOKUP($I199,'Privacy Analyst Evaluation'!$A$46:$F$120,2,0),""))</f>
      </c>
      <c r="K199" s="208">
        <f>IFERROR(VLOOKUP($I199,'Institution Evaluation'!$A$55:$F$345,3,0),IFERROR(VLOOKUP($I199,'Privacy Analyst Evaluation'!$A$46:$F$120,3,0),""))&amp;""</f>
      </c>
      <c r="L199" s="208">
        <f>IFERROR(VLOOKUP($I199,'Institution Evaluation'!$A$55:$F$345,4,0),IFERROR(VLOOKUP($I199,'Privacy Analyst Evaluation'!$A$46:$F$120,4,0),""))&amp;""</f>
      </c>
      <c r="M199" s="208">
        <f>IFERROR(VLOOKUP($I199,'Institution Evaluation'!$A$55:$F$345,6,0),IFERROR(VLOOKUP($I199,'Privacy Analyst Evaluation'!$A$46:$F$120,6,0),""))&amp;""</f>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ht="17" x14ac:dyDescent="0.2">
      <c r="A200" s="208" t="str">
        <f>IFERROR(IF($A199+1&gt;'(backend scoring)'!$T$335,"",$A199+1),"")</f>
      </c>
      <c r="B200" s="208">
        <f>_xlfn.XLOOKUP($A200,'(backend scoring)'!$V$2:$V$333,'(backend scoring)'!$A$2:$A$333,"")</f>
      </c>
      <c r="C200" s="208">
        <f>IFERROR(VLOOKUP($B200,'Institution Evaluation'!$A$55:$F$345,2,0),IFERROR(VLOOKUP($B200,'Privacy Analyst Evaluation'!$A$46:$F$120,2,0),""))&amp;""</f>
      </c>
      <c r="D200" s="208">
        <f>IFERROR(VLOOKUP($B200,'Institution Evaluation'!$A$55:$F$345,3,0),IFERROR(VLOOKUP($B200,'Privacy Analyst Evaluation'!$A$46:$F$120,3,0),""))&amp;""</f>
      </c>
      <c r="E200" s="208">
        <f>IFERROR(VLOOKUP($B200,'Institution Evaluation'!$A$55:$F$345,4,0),IFERROR(VLOOKUP($B200,'Privacy Analyst Evaluation'!$A$46:$F$120,4,0),""))&amp;""</f>
      </c>
      <c r="F200" s="208">
        <f>IFERROR(VLOOKUP($B200,'Institution Evaluation'!$A$55:$F$345,6,0),IFERROR(VLOOKUP($B200,'Privacy Analyst Evaluation'!$A$46:$F$120,6,0),""))&amp;""</f>
      </c>
      <c r="G200" s="209"/>
      <c r="H200" s="208" t="str">
        <f>IFERROR(IF($H199+1&gt;'(backend scoring)'!$Q$335,"",$H199+1),"")</f>
      </c>
      <c r="I200" s="208">
        <f>_xlfn.XLOOKUP($H200,'(backend scoring)'!$S$2:$S$333,'(backend scoring)'!$A$2:$A$333,"")</f>
      </c>
      <c r="J200" s="208">
        <f>IFERROR(VLOOKUP($I200,'Institution Evaluation'!$A$55:$F$345,2,0),IFERROR(VLOOKUP($I200,'Privacy Analyst Evaluation'!$A$46:$F$120,2,0),""))</f>
      </c>
      <c r="K200" s="208">
        <f>IFERROR(VLOOKUP($I200,'Institution Evaluation'!$A$55:$F$345,3,0),IFERROR(VLOOKUP($I200,'Privacy Analyst Evaluation'!$A$46:$F$120,3,0),""))&amp;""</f>
      </c>
      <c r="L200" s="208">
        <f>IFERROR(VLOOKUP($I200,'Institution Evaluation'!$A$55:$F$345,4,0),IFERROR(VLOOKUP($I200,'Privacy Analyst Evaluation'!$A$46:$F$120,4,0),""))&amp;""</f>
      </c>
      <c r="M200" s="208">
        <f>IFERROR(VLOOKUP($I200,'Institution Evaluation'!$A$55:$F$345,6,0),IFERROR(VLOOKUP($I200,'Privacy Analyst Evaluation'!$A$46:$F$120,6,0),""))&amp;""</f>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ht="17" x14ac:dyDescent="0.2">
      <c r="A201" s="208" t="str">
        <f>IFERROR(IF($A200+1&gt;'(backend scoring)'!$T$335,"",$A200+1),"")</f>
      </c>
      <c r="B201" s="208">
        <f>_xlfn.XLOOKUP($A201,'(backend scoring)'!$V$2:$V$333,'(backend scoring)'!$A$2:$A$333,"")</f>
      </c>
      <c r="C201" s="208">
        <f>IFERROR(VLOOKUP($B201,'Institution Evaluation'!$A$55:$F$345,2,0),IFERROR(VLOOKUP($B201,'Privacy Analyst Evaluation'!$A$46:$F$120,2,0),""))&amp;""</f>
      </c>
      <c r="D201" s="208">
        <f>IFERROR(VLOOKUP($B201,'Institution Evaluation'!$A$55:$F$345,3,0),IFERROR(VLOOKUP($B201,'Privacy Analyst Evaluation'!$A$46:$F$120,3,0),""))&amp;""</f>
      </c>
      <c r="E201" s="208">
        <f>IFERROR(VLOOKUP($B201,'Institution Evaluation'!$A$55:$F$345,4,0),IFERROR(VLOOKUP($B201,'Privacy Analyst Evaluation'!$A$46:$F$120,4,0),""))&amp;""</f>
      </c>
      <c r="F201" s="208">
        <f>IFERROR(VLOOKUP($B201,'Institution Evaluation'!$A$55:$F$345,6,0),IFERROR(VLOOKUP($B201,'Privacy Analyst Evaluation'!$A$46:$F$120,6,0),""))&amp;""</f>
      </c>
      <c r="G201" s="209"/>
      <c r="H201" s="208" t="str">
        <f>IFERROR(IF($H200+1&gt;'(backend scoring)'!$Q$335,"",$H200+1),"")</f>
      </c>
      <c r="I201" s="208">
        <f>_xlfn.XLOOKUP($H201,'(backend scoring)'!$S$2:$S$333,'(backend scoring)'!$A$2:$A$333,"")</f>
      </c>
      <c r="J201" s="208">
        <f>IFERROR(VLOOKUP($I201,'Institution Evaluation'!$A$55:$F$345,2,0),IFERROR(VLOOKUP($I201,'Privacy Analyst Evaluation'!$A$46:$F$120,2,0),""))</f>
      </c>
      <c r="K201" s="208">
        <f>IFERROR(VLOOKUP($I201,'Institution Evaluation'!$A$55:$F$345,3,0),IFERROR(VLOOKUP($I201,'Privacy Analyst Evaluation'!$A$46:$F$120,3,0),""))&amp;""</f>
      </c>
      <c r="L201" s="208">
        <f>IFERROR(VLOOKUP($I201,'Institution Evaluation'!$A$55:$F$345,4,0),IFERROR(VLOOKUP($I201,'Privacy Analyst Evaluation'!$A$46:$F$120,4,0),""))&amp;""</f>
      </c>
      <c r="M201" s="208">
        <f>IFERROR(VLOOKUP($I201,'Institution Evaluation'!$A$55:$F$345,6,0),IFERROR(VLOOKUP($I201,'Privacy Analyst Evaluation'!$A$46:$F$120,6,0),""))&amp;""</f>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ht="17" x14ac:dyDescent="0.2">
      <c r="A202" s="208" t="str">
        <f>IFERROR(IF($A201+1&gt;'(backend scoring)'!$T$335,"",$A201+1),"")</f>
      </c>
      <c r="B202" s="208">
        <f>_xlfn.XLOOKUP($A202,'(backend scoring)'!$V$2:$V$333,'(backend scoring)'!$A$2:$A$333,"")</f>
      </c>
      <c r="C202" s="208">
        <f>IFERROR(VLOOKUP($B202,'Institution Evaluation'!$A$55:$F$345,2,0),IFERROR(VLOOKUP($B202,'Privacy Analyst Evaluation'!$A$46:$F$120,2,0),""))&amp;""</f>
      </c>
      <c r="D202" s="208">
        <f>IFERROR(VLOOKUP($B202,'Institution Evaluation'!$A$55:$F$345,3,0),IFERROR(VLOOKUP($B202,'Privacy Analyst Evaluation'!$A$46:$F$120,3,0),""))&amp;""</f>
      </c>
      <c r="E202" s="208">
        <f>IFERROR(VLOOKUP($B202,'Institution Evaluation'!$A$55:$F$345,4,0),IFERROR(VLOOKUP($B202,'Privacy Analyst Evaluation'!$A$46:$F$120,4,0),""))&amp;""</f>
      </c>
      <c r="F202" s="208">
        <f>IFERROR(VLOOKUP($B202,'Institution Evaluation'!$A$55:$F$345,6,0),IFERROR(VLOOKUP($B202,'Privacy Analyst Evaluation'!$A$46:$F$120,6,0),""))&amp;""</f>
      </c>
      <c r="G202" s="209"/>
      <c r="H202" s="208" t="str">
        <f>IFERROR(IF($H201+1&gt;'(backend scoring)'!$Q$335,"",$H201+1),"")</f>
      </c>
      <c r="I202" s="208">
        <f>_xlfn.XLOOKUP($H202,'(backend scoring)'!$S$2:$S$333,'(backend scoring)'!$A$2:$A$333,"")</f>
      </c>
      <c r="J202" s="208">
        <f>IFERROR(VLOOKUP($I202,'Institution Evaluation'!$A$55:$F$345,2,0),IFERROR(VLOOKUP($I202,'Privacy Analyst Evaluation'!$A$46:$F$120,2,0),""))</f>
      </c>
      <c r="K202" s="208">
        <f>IFERROR(VLOOKUP($I202,'Institution Evaluation'!$A$55:$F$345,3,0),IFERROR(VLOOKUP($I202,'Privacy Analyst Evaluation'!$A$46:$F$120,3,0),""))&amp;""</f>
      </c>
      <c r="L202" s="208">
        <f>IFERROR(VLOOKUP($I202,'Institution Evaluation'!$A$55:$F$345,4,0),IFERROR(VLOOKUP($I202,'Privacy Analyst Evaluation'!$A$46:$F$120,4,0),""))&amp;""</f>
      </c>
      <c r="M202" s="208">
        <f>IFERROR(VLOOKUP($I202,'Institution Evaluation'!$A$55:$F$345,6,0),IFERROR(VLOOKUP($I202,'Privacy Analyst Evaluation'!$A$46:$F$120,6,0),""))&amp;""</f>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ht="17" x14ac:dyDescent="0.2">
      <c r="A203" s="208" t="str">
        <f>IFERROR(IF($A202+1&gt;'(backend scoring)'!$T$335,"",$A202+1),"")</f>
      </c>
      <c r="B203" s="208">
        <f>_xlfn.XLOOKUP($A203,'(backend scoring)'!$V$2:$V$333,'(backend scoring)'!$A$2:$A$333,"")</f>
      </c>
      <c r="C203" s="208">
        <f>IFERROR(VLOOKUP($B203,'Institution Evaluation'!$A$55:$F$345,2,0),IFERROR(VLOOKUP($B203,'Privacy Analyst Evaluation'!$A$46:$F$120,2,0),""))&amp;""</f>
      </c>
      <c r="D203" s="208">
        <f>IFERROR(VLOOKUP($B203,'Institution Evaluation'!$A$55:$F$345,3,0),IFERROR(VLOOKUP($B203,'Privacy Analyst Evaluation'!$A$46:$F$120,3,0),""))&amp;""</f>
      </c>
      <c r="E203" s="208">
        <f>IFERROR(VLOOKUP($B203,'Institution Evaluation'!$A$55:$F$345,4,0),IFERROR(VLOOKUP($B203,'Privacy Analyst Evaluation'!$A$46:$F$120,4,0),""))&amp;""</f>
      </c>
      <c r="F203" s="208">
        <f>IFERROR(VLOOKUP($B203,'Institution Evaluation'!$A$55:$F$345,6,0),IFERROR(VLOOKUP($B203,'Privacy Analyst Evaluation'!$A$46:$F$120,6,0),""))&amp;""</f>
      </c>
      <c r="G203" s="209"/>
      <c r="H203" s="208" t="str">
        <f>IFERROR(IF($H202+1&gt;'(backend scoring)'!$Q$335,"",$H202+1),"")</f>
      </c>
      <c r="I203" s="208">
        <f>_xlfn.XLOOKUP($H203,'(backend scoring)'!$S$2:$S$333,'(backend scoring)'!$A$2:$A$333,"")</f>
      </c>
      <c r="J203" s="208">
        <f>IFERROR(VLOOKUP($I203,'Institution Evaluation'!$A$55:$F$345,2,0),IFERROR(VLOOKUP($I203,'Privacy Analyst Evaluation'!$A$46:$F$120,2,0),""))</f>
      </c>
      <c r="K203" s="208">
        <f>IFERROR(VLOOKUP($I203,'Institution Evaluation'!$A$55:$F$345,3,0),IFERROR(VLOOKUP($I203,'Privacy Analyst Evaluation'!$A$46:$F$120,3,0),""))&amp;""</f>
      </c>
      <c r="L203" s="208">
        <f>IFERROR(VLOOKUP($I203,'Institution Evaluation'!$A$55:$F$345,4,0),IFERROR(VLOOKUP($I203,'Privacy Analyst Evaluation'!$A$46:$F$120,4,0),""))&amp;""</f>
      </c>
      <c r="M203" s="208">
        <f>IFERROR(VLOOKUP($I203,'Institution Evaluation'!$A$55:$F$345,6,0),IFERROR(VLOOKUP($I203,'Privacy Analyst Evaluation'!$A$46:$F$120,6,0),""))&amp;""</f>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ht="17" x14ac:dyDescent="0.2">
      <c r="A204" s="208" t="str">
        <f>IFERROR(IF($A203+1&gt;'(backend scoring)'!$T$335,"",$A203+1),"")</f>
      </c>
      <c r="B204" s="208">
        <f>_xlfn.XLOOKUP($A204,'(backend scoring)'!$V$2:$V$333,'(backend scoring)'!$A$2:$A$333,"")</f>
      </c>
      <c r="C204" s="208">
        <f>IFERROR(VLOOKUP($B204,'Institution Evaluation'!$A$55:$F$345,2,0),IFERROR(VLOOKUP($B204,'Privacy Analyst Evaluation'!$A$46:$F$120,2,0),""))&amp;""</f>
      </c>
      <c r="D204" s="208">
        <f>IFERROR(VLOOKUP($B204,'Institution Evaluation'!$A$55:$F$345,3,0),IFERROR(VLOOKUP($B204,'Privacy Analyst Evaluation'!$A$46:$F$120,3,0),""))&amp;""</f>
      </c>
      <c r="E204" s="208">
        <f>IFERROR(VLOOKUP($B204,'Institution Evaluation'!$A$55:$F$345,4,0),IFERROR(VLOOKUP($B204,'Privacy Analyst Evaluation'!$A$46:$F$120,4,0),""))&amp;""</f>
      </c>
      <c r="F204" s="208">
        <f>IFERROR(VLOOKUP($B204,'Institution Evaluation'!$A$55:$F$345,6,0),IFERROR(VLOOKUP($B204,'Privacy Analyst Evaluation'!$A$46:$F$120,6,0),""))&amp;""</f>
      </c>
      <c r="G204" s="209"/>
      <c r="H204" s="208" t="str">
        <f>IFERROR(IF($H203+1&gt;'(backend scoring)'!$Q$335,"",$H203+1),"")</f>
      </c>
      <c r="I204" s="208">
        <f>_xlfn.XLOOKUP($H204,'(backend scoring)'!$S$2:$S$333,'(backend scoring)'!$A$2:$A$333,"")</f>
      </c>
      <c r="J204" s="208">
        <f>IFERROR(VLOOKUP($I204,'Institution Evaluation'!$A$55:$F$345,2,0),IFERROR(VLOOKUP($I204,'Privacy Analyst Evaluation'!$A$46:$F$120,2,0),""))</f>
      </c>
      <c r="K204" s="208">
        <f>IFERROR(VLOOKUP($I204,'Institution Evaluation'!$A$55:$F$345,3,0),IFERROR(VLOOKUP($I204,'Privacy Analyst Evaluation'!$A$46:$F$120,3,0),""))&amp;""</f>
      </c>
      <c r="L204" s="208">
        <f>IFERROR(VLOOKUP($I204,'Institution Evaluation'!$A$55:$F$345,4,0),IFERROR(VLOOKUP($I204,'Privacy Analyst Evaluation'!$A$46:$F$120,4,0),""))&amp;""</f>
      </c>
      <c r="M204" s="208">
        <f>IFERROR(VLOOKUP($I204,'Institution Evaluation'!$A$55:$F$345,6,0),IFERROR(VLOOKUP($I204,'Privacy Analyst Evaluation'!$A$46:$F$120,6,0),""))&amp;""</f>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ht="17" x14ac:dyDescent="0.2">
      <c r="A205" s="208" t="str">
        <f>IFERROR(IF($A204+1&gt;'(backend scoring)'!$T$335,"",$A204+1),"")</f>
      </c>
      <c r="B205" s="208">
        <f>_xlfn.XLOOKUP($A205,'(backend scoring)'!$V$2:$V$333,'(backend scoring)'!$A$2:$A$333,"")</f>
      </c>
      <c r="C205" s="208">
        <f>IFERROR(VLOOKUP($B205,'Institution Evaluation'!$A$55:$F$345,2,0),IFERROR(VLOOKUP($B205,'Privacy Analyst Evaluation'!$A$46:$F$120,2,0),""))&amp;""</f>
      </c>
      <c r="D205" s="208">
        <f>IFERROR(VLOOKUP($B205,'Institution Evaluation'!$A$55:$F$345,3,0),IFERROR(VLOOKUP($B205,'Privacy Analyst Evaluation'!$A$46:$F$120,3,0),""))&amp;""</f>
      </c>
      <c r="E205" s="208">
        <f>IFERROR(VLOOKUP($B205,'Institution Evaluation'!$A$55:$F$345,4,0),IFERROR(VLOOKUP($B205,'Privacy Analyst Evaluation'!$A$46:$F$120,4,0),""))&amp;""</f>
      </c>
      <c r="F205" s="208">
        <f>IFERROR(VLOOKUP($B205,'Institution Evaluation'!$A$55:$F$345,6,0),IFERROR(VLOOKUP($B205,'Privacy Analyst Evaluation'!$A$46:$F$120,6,0),""))&amp;""</f>
      </c>
      <c r="G205" s="209"/>
      <c r="H205" s="208" t="str">
        <f>IFERROR(IF($H204+1&gt;'(backend scoring)'!$Q$335,"",$H204+1),"")</f>
      </c>
      <c r="I205" s="208">
        <f>_xlfn.XLOOKUP($H205,'(backend scoring)'!$S$2:$S$333,'(backend scoring)'!$A$2:$A$333,"")</f>
      </c>
      <c r="J205" s="208">
        <f>IFERROR(VLOOKUP($I205,'Institution Evaluation'!$A$55:$F$345,2,0),IFERROR(VLOOKUP($I205,'Privacy Analyst Evaluation'!$A$46:$F$120,2,0),""))</f>
      </c>
      <c r="K205" s="208">
        <f>IFERROR(VLOOKUP($I205,'Institution Evaluation'!$A$55:$F$345,3,0),IFERROR(VLOOKUP($I205,'Privacy Analyst Evaluation'!$A$46:$F$120,3,0),""))&amp;""</f>
      </c>
      <c r="L205" s="208">
        <f>IFERROR(VLOOKUP($I205,'Institution Evaluation'!$A$55:$F$345,4,0),IFERROR(VLOOKUP($I205,'Privacy Analyst Evaluation'!$A$46:$F$120,4,0),""))&amp;""</f>
      </c>
      <c r="M205" s="208">
        <f>IFERROR(VLOOKUP($I205,'Institution Evaluation'!$A$55:$F$345,6,0),IFERROR(VLOOKUP($I205,'Privacy Analyst Evaluation'!$A$46:$F$120,6,0),""))&amp;""</f>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ht="17" x14ac:dyDescent="0.2">
      <c r="A206" s="208" t="str">
        <f>IFERROR(IF($A205+1&gt;'(backend scoring)'!$T$335,"",$A205+1),"")</f>
      </c>
      <c r="B206" s="208">
        <f>_xlfn.XLOOKUP($A206,'(backend scoring)'!$V$2:$V$333,'(backend scoring)'!$A$2:$A$333,"")</f>
      </c>
      <c r="C206" s="208">
        <f>IFERROR(VLOOKUP($B206,'Institution Evaluation'!$A$55:$F$345,2,0),IFERROR(VLOOKUP($B206,'Privacy Analyst Evaluation'!$A$46:$F$120,2,0),""))&amp;""</f>
      </c>
      <c r="D206" s="208">
        <f>IFERROR(VLOOKUP($B206,'Institution Evaluation'!$A$55:$F$345,3,0),IFERROR(VLOOKUP($B206,'Privacy Analyst Evaluation'!$A$46:$F$120,3,0),""))&amp;""</f>
      </c>
      <c r="E206" s="208">
        <f>IFERROR(VLOOKUP($B206,'Institution Evaluation'!$A$55:$F$345,4,0),IFERROR(VLOOKUP($B206,'Privacy Analyst Evaluation'!$A$46:$F$120,4,0),""))&amp;""</f>
      </c>
      <c r="F206" s="208">
        <f>IFERROR(VLOOKUP($B206,'Institution Evaluation'!$A$55:$F$345,6,0),IFERROR(VLOOKUP($B206,'Privacy Analyst Evaluation'!$A$46:$F$120,6,0),""))&amp;""</f>
      </c>
      <c r="G206" s="209"/>
      <c r="H206" s="208" t="str">
        <f>IFERROR(IF($H205+1&gt;'(backend scoring)'!$Q$335,"",$H205+1),"")</f>
      </c>
      <c r="I206" s="208">
        <f>_xlfn.XLOOKUP($H206,'(backend scoring)'!$S$2:$S$333,'(backend scoring)'!$A$2:$A$333,"")</f>
      </c>
      <c r="J206" s="208">
        <f>IFERROR(VLOOKUP($I206,'Institution Evaluation'!$A$55:$F$345,2,0),IFERROR(VLOOKUP($I206,'Privacy Analyst Evaluation'!$A$46:$F$120,2,0),""))</f>
      </c>
      <c r="K206" s="208">
        <f>IFERROR(VLOOKUP($I206,'Institution Evaluation'!$A$55:$F$345,3,0),IFERROR(VLOOKUP($I206,'Privacy Analyst Evaluation'!$A$46:$F$120,3,0),""))&amp;""</f>
      </c>
      <c r="L206" s="208">
        <f>IFERROR(VLOOKUP($I206,'Institution Evaluation'!$A$55:$F$345,4,0),IFERROR(VLOOKUP($I206,'Privacy Analyst Evaluation'!$A$46:$F$120,4,0),""))&amp;""</f>
      </c>
      <c r="M206" s="208">
        <f>IFERROR(VLOOKUP($I206,'Institution Evaluation'!$A$55:$F$345,6,0),IFERROR(VLOOKUP($I206,'Privacy Analyst Evaluation'!$A$46:$F$120,6,0),""))&amp;""</f>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ht="17" x14ac:dyDescent="0.2">
      <c r="A207" s="208" t="str">
        <f>IFERROR(IF($A206+1&gt;'(backend scoring)'!$T$335,"",$A206+1),"")</f>
      </c>
      <c r="B207" s="208">
        <f>_xlfn.XLOOKUP($A207,'(backend scoring)'!$V$2:$V$333,'(backend scoring)'!$A$2:$A$333,"")</f>
      </c>
      <c r="C207" s="208">
        <f>IFERROR(VLOOKUP($B207,'Institution Evaluation'!$A$55:$F$345,2,0),IFERROR(VLOOKUP($B207,'Privacy Analyst Evaluation'!$A$46:$F$120,2,0),""))&amp;""</f>
      </c>
      <c r="D207" s="208">
        <f>IFERROR(VLOOKUP($B207,'Institution Evaluation'!$A$55:$F$345,3,0),IFERROR(VLOOKUP($B207,'Privacy Analyst Evaluation'!$A$46:$F$120,3,0),""))&amp;""</f>
      </c>
      <c r="E207" s="208">
        <f>IFERROR(VLOOKUP($B207,'Institution Evaluation'!$A$55:$F$345,4,0),IFERROR(VLOOKUP($B207,'Privacy Analyst Evaluation'!$A$46:$F$120,4,0),""))&amp;""</f>
      </c>
      <c r="F207" s="208">
        <f>IFERROR(VLOOKUP($B207,'Institution Evaluation'!$A$55:$F$345,6,0),IFERROR(VLOOKUP($B207,'Privacy Analyst Evaluation'!$A$46:$F$120,6,0),""))&amp;""</f>
      </c>
      <c r="G207" s="209"/>
      <c r="H207" s="208" t="str">
        <f>IFERROR(IF($H206+1&gt;'(backend scoring)'!$Q$335,"",$H206+1),"")</f>
      </c>
      <c r="I207" s="208">
        <f>_xlfn.XLOOKUP($H207,'(backend scoring)'!$S$2:$S$333,'(backend scoring)'!$A$2:$A$333,"")</f>
      </c>
      <c r="J207" s="208">
        <f>IFERROR(VLOOKUP($I207,'Institution Evaluation'!$A$55:$F$345,2,0),IFERROR(VLOOKUP($I207,'Privacy Analyst Evaluation'!$A$46:$F$120,2,0),""))</f>
      </c>
      <c r="K207" s="208">
        <f>IFERROR(VLOOKUP($I207,'Institution Evaluation'!$A$55:$F$345,3,0),IFERROR(VLOOKUP($I207,'Privacy Analyst Evaluation'!$A$46:$F$120,3,0),""))&amp;""</f>
      </c>
      <c r="L207" s="208">
        <f>IFERROR(VLOOKUP($I207,'Institution Evaluation'!$A$55:$F$345,4,0),IFERROR(VLOOKUP($I207,'Privacy Analyst Evaluation'!$A$46:$F$120,4,0),""))&amp;""</f>
      </c>
      <c r="M207" s="208">
        <f>IFERROR(VLOOKUP($I207,'Institution Evaluation'!$A$55:$F$345,6,0),IFERROR(VLOOKUP($I207,'Privacy Analyst Evaluation'!$A$46:$F$120,6,0),""))&amp;""</f>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ht="17" x14ac:dyDescent="0.2">
      <c r="A208" s="208" t="str">
        <f>IFERROR(IF($A207+1&gt;'(backend scoring)'!$T$335,"",$A207+1),"")</f>
      </c>
      <c r="B208" s="208">
        <f>_xlfn.XLOOKUP($A208,'(backend scoring)'!$V$2:$V$333,'(backend scoring)'!$A$2:$A$333,"")</f>
      </c>
      <c r="C208" s="208">
        <f>IFERROR(VLOOKUP($B208,'Institution Evaluation'!$A$55:$F$345,2,0),IFERROR(VLOOKUP($B208,'Privacy Analyst Evaluation'!$A$46:$F$120,2,0),""))&amp;""</f>
      </c>
      <c r="D208" s="208">
        <f>IFERROR(VLOOKUP($B208,'Institution Evaluation'!$A$55:$F$345,3,0),IFERROR(VLOOKUP($B208,'Privacy Analyst Evaluation'!$A$46:$F$120,3,0),""))&amp;""</f>
      </c>
      <c r="E208" s="208">
        <f>IFERROR(VLOOKUP($B208,'Institution Evaluation'!$A$55:$F$345,4,0),IFERROR(VLOOKUP($B208,'Privacy Analyst Evaluation'!$A$46:$F$120,4,0),""))&amp;""</f>
      </c>
      <c r="F208" s="208">
        <f>IFERROR(VLOOKUP($B208,'Institution Evaluation'!$A$55:$F$345,6,0),IFERROR(VLOOKUP($B208,'Privacy Analyst Evaluation'!$A$46:$F$120,6,0),""))&amp;""</f>
      </c>
      <c r="G208" s="209"/>
      <c r="H208" s="208" t="str">
        <f>IFERROR(IF($H207+1&gt;'(backend scoring)'!$Q$335,"",$H207+1),"")</f>
      </c>
      <c r="I208" s="208">
        <f>_xlfn.XLOOKUP($H208,'(backend scoring)'!$S$2:$S$333,'(backend scoring)'!$A$2:$A$333,"")</f>
      </c>
      <c r="J208" s="208">
        <f>IFERROR(VLOOKUP($I208,'Institution Evaluation'!$A$55:$F$345,2,0),IFERROR(VLOOKUP($I208,'Privacy Analyst Evaluation'!$A$46:$F$120,2,0),""))</f>
      </c>
      <c r="K208" s="208">
        <f>IFERROR(VLOOKUP($I208,'Institution Evaluation'!$A$55:$F$345,3,0),IFERROR(VLOOKUP($I208,'Privacy Analyst Evaluation'!$A$46:$F$120,3,0),""))&amp;""</f>
      </c>
      <c r="L208" s="208">
        <f>IFERROR(VLOOKUP($I208,'Institution Evaluation'!$A$55:$F$345,4,0),IFERROR(VLOOKUP($I208,'Privacy Analyst Evaluation'!$A$46:$F$120,4,0),""))&amp;""</f>
      </c>
      <c r="M208" s="208">
        <f>IFERROR(VLOOKUP($I208,'Institution Evaluation'!$A$55:$F$345,6,0),IFERROR(VLOOKUP($I208,'Privacy Analyst Evaluation'!$A$46:$F$120,6,0),""))&amp;""</f>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ht="17" x14ac:dyDescent="0.2">
      <c r="A209" s="208" t="str">
        <f>IFERROR(IF($A208+1&gt;'(backend scoring)'!$T$335,"",$A208+1),"")</f>
      </c>
      <c r="B209" s="208">
        <f>_xlfn.XLOOKUP($A209,'(backend scoring)'!$V$2:$V$333,'(backend scoring)'!$A$2:$A$333,"")</f>
      </c>
      <c r="C209" s="208">
        <f>IFERROR(VLOOKUP($B209,'Institution Evaluation'!$A$55:$F$345,2,0),IFERROR(VLOOKUP($B209,'Privacy Analyst Evaluation'!$A$46:$F$120,2,0),""))&amp;""</f>
      </c>
      <c r="D209" s="208">
        <f>IFERROR(VLOOKUP($B209,'Institution Evaluation'!$A$55:$F$345,3,0),IFERROR(VLOOKUP($B209,'Privacy Analyst Evaluation'!$A$46:$F$120,3,0),""))&amp;""</f>
      </c>
      <c r="E209" s="208">
        <f>IFERROR(VLOOKUP($B209,'Institution Evaluation'!$A$55:$F$345,4,0),IFERROR(VLOOKUP($B209,'Privacy Analyst Evaluation'!$A$46:$F$120,4,0),""))&amp;""</f>
      </c>
      <c r="F209" s="208">
        <f>IFERROR(VLOOKUP($B209,'Institution Evaluation'!$A$55:$F$345,6,0),IFERROR(VLOOKUP($B209,'Privacy Analyst Evaluation'!$A$46:$F$120,6,0),""))&amp;""</f>
      </c>
      <c r="G209" s="209"/>
      <c r="H209" s="208" t="str">
        <f>IFERROR(IF($H208+1&gt;'(backend scoring)'!$Q$335,"",$H208+1),"")</f>
      </c>
      <c r="I209" s="208">
        <f>_xlfn.XLOOKUP($H209,'(backend scoring)'!$S$2:$S$333,'(backend scoring)'!$A$2:$A$333,"")</f>
      </c>
      <c r="J209" s="208">
        <f>IFERROR(VLOOKUP($I209,'Institution Evaluation'!$A$55:$F$345,2,0),IFERROR(VLOOKUP($I209,'Privacy Analyst Evaluation'!$A$46:$F$120,2,0),""))</f>
      </c>
      <c r="K209" s="208">
        <f>IFERROR(VLOOKUP($I209,'Institution Evaluation'!$A$55:$F$345,3,0),IFERROR(VLOOKUP($I209,'Privacy Analyst Evaluation'!$A$46:$F$120,3,0),""))&amp;""</f>
      </c>
      <c r="L209" s="208">
        <f>IFERROR(VLOOKUP($I209,'Institution Evaluation'!$A$55:$F$345,4,0),IFERROR(VLOOKUP($I209,'Privacy Analyst Evaluation'!$A$46:$F$120,4,0),""))&amp;""</f>
      </c>
      <c r="M209" s="208">
        <f>IFERROR(VLOOKUP($I209,'Institution Evaluation'!$A$55:$F$345,6,0),IFERROR(VLOOKUP($I209,'Privacy Analyst Evaluation'!$A$46:$F$120,6,0),""))&amp;""</f>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ht="17" x14ac:dyDescent="0.2">
      <c r="A210" s="208" t="str">
        <f>IFERROR(IF($A209+1&gt;'(backend scoring)'!$T$335,"",$A209+1),"")</f>
      </c>
      <c r="B210" s="208">
        <f>_xlfn.XLOOKUP($A210,'(backend scoring)'!$V$2:$V$333,'(backend scoring)'!$A$2:$A$333,"")</f>
      </c>
      <c r="C210" s="208">
        <f>IFERROR(VLOOKUP($B210,'Institution Evaluation'!$A$55:$F$345,2,0),IFERROR(VLOOKUP($B210,'Privacy Analyst Evaluation'!$A$46:$F$120,2,0),""))&amp;""</f>
      </c>
      <c r="D210" s="208">
        <f>IFERROR(VLOOKUP($B210,'Institution Evaluation'!$A$55:$F$345,3,0),IFERROR(VLOOKUP($B210,'Privacy Analyst Evaluation'!$A$46:$F$120,3,0),""))&amp;""</f>
      </c>
      <c r="E210" s="208">
        <f>IFERROR(VLOOKUP($B210,'Institution Evaluation'!$A$55:$F$345,4,0),IFERROR(VLOOKUP($B210,'Privacy Analyst Evaluation'!$A$46:$F$120,4,0),""))&amp;""</f>
      </c>
      <c r="F210" s="208">
        <f>IFERROR(VLOOKUP($B210,'Institution Evaluation'!$A$55:$F$345,6,0),IFERROR(VLOOKUP($B210,'Privacy Analyst Evaluation'!$A$46:$F$120,6,0),""))&amp;""</f>
      </c>
      <c r="G210" s="209"/>
      <c r="H210" s="208" t="str">
        <f>IFERROR(IF($H209+1&gt;'(backend scoring)'!$Q$335,"",$H209+1),"")</f>
      </c>
      <c r="I210" s="208">
        <f>_xlfn.XLOOKUP($H210,'(backend scoring)'!$S$2:$S$333,'(backend scoring)'!$A$2:$A$333,"")</f>
      </c>
      <c r="J210" s="208">
        <f>IFERROR(VLOOKUP($I210,'Institution Evaluation'!$A$55:$F$345,2,0),IFERROR(VLOOKUP($I210,'Privacy Analyst Evaluation'!$A$46:$F$120,2,0),""))</f>
      </c>
      <c r="K210" s="208">
        <f>IFERROR(VLOOKUP($I210,'Institution Evaluation'!$A$55:$F$345,3,0),IFERROR(VLOOKUP($I210,'Privacy Analyst Evaluation'!$A$46:$F$120,3,0),""))&amp;""</f>
      </c>
      <c r="L210" s="208">
        <f>IFERROR(VLOOKUP($I210,'Institution Evaluation'!$A$55:$F$345,4,0),IFERROR(VLOOKUP($I210,'Privacy Analyst Evaluation'!$A$46:$F$120,4,0),""))&amp;""</f>
      </c>
      <c r="M210" s="208">
        <f>IFERROR(VLOOKUP($I210,'Institution Evaluation'!$A$55:$F$345,6,0),IFERROR(VLOOKUP($I210,'Privacy Analyst Evaluation'!$A$46:$F$120,6,0),""))&amp;""</f>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ht="17" x14ac:dyDescent="0.2">
      <c r="A211" s="208" t="str">
        <f>IFERROR(IF($A210+1&gt;'(backend scoring)'!$T$335,"",$A210+1),"")</f>
      </c>
      <c r="B211" s="208">
        <f>_xlfn.XLOOKUP($A211,'(backend scoring)'!$V$2:$V$333,'(backend scoring)'!$A$2:$A$333,"")</f>
      </c>
      <c r="C211" s="208">
        <f>IFERROR(VLOOKUP($B211,'Institution Evaluation'!$A$55:$F$345,2,0),IFERROR(VLOOKUP($B211,'Privacy Analyst Evaluation'!$A$46:$F$120,2,0),""))&amp;""</f>
      </c>
      <c r="D211" s="208">
        <f>IFERROR(VLOOKUP($B211,'Institution Evaluation'!$A$55:$F$345,3,0),IFERROR(VLOOKUP($B211,'Privacy Analyst Evaluation'!$A$46:$F$120,3,0),""))&amp;""</f>
      </c>
      <c r="E211" s="208">
        <f>IFERROR(VLOOKUP($B211,'Institution Evaluation'!$A$55:$F$345,4,0),IFERROR(VLOOKUP($B211,'Privacy Analyst Evaluation'!$A$46:$F$120,4,0),""))&amp;""</f>
      </c>
      <c r="F211" s="208">
        <f>IFERROR(VLOOKUP($B211,'Institution Evaluation'!$A$55:$F$345,6,0),IFERROR(VLOOKUP($B211,'Privacy Analyst Evaluation'!$A$46:$F$120,6,0),""))&amp;""</f>
      </c>
      <c r="G211" s="209"/>
      <c r="H211" s="208" t="str">
        <f>IFERROR(IF($H210+1&gt;'(backend scoring)'!$Q$335,"",$H210+1),"")</f>
      </c>
      <c r="I211" s="208">
        <f>_xlfn.XLOOKUP($H211,'(backend scoring)'!$S$2:$S$333,'(backend scoring)'!$A$2:$A$333,"")</f>
      </c>
      <c r="J211" s="208">
        <f>IFERROR(VLOOKUP($I211,'Institution Evaluation'!$A$55:$F$345,2,0),IFERROR(VLOOKUP($I211,'Privacy Analyst Evaluation'!$A$46:$F$120,2,0),""))</f>
      </c>
      <c r="K211" s="208">
        <f>IFERROR(VLOOKUP($I211,'Institution Evaluation'!$A$55:$F$345,3,0),IFERROR(VLOOKUP($I211,'Privacy Analyst Evaluation'!$A$46:$F$120,3,0),""))&amp;""</f>
      </c>
      <c r="L211" s="208">
        <f>IFERROR(VLOOKUP($I211,'Institution Evaluation'!$A$55:$F$345,4,0),IFERROR(VLOOKUP($I211,'Privacy Analyst Evaluation'!$A$46:$F$120,4,0),""))&amp;""</f>
      </c>
      <c r="M211" s="208">
        <f>IFERROR(VLOOKUP($I211,'Institution Evaluation'!$A$55:$F$345,6,0),IFERROR(VLOOKUP($I211,'Privacy Analyst Evaluation'!$A$46:$F$120,6,0),""))&amp;""</f>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ht="17" x14ac:dyDescent="0.2">
      <c r="A212" s="208" t="str">
        <f>IFERROR(IF($A211+1&gt;'(backend scoring)'!$T$335,"",$A211+1),"")</f>
      </c>
      <c r="B212" s="208">
        <f>_xlfn.XLOOKUP($A212,'(backend scoring)'!$V$2:$V$333,'(backend scoring)'!$A$2:$A$333,"")</f>
      </c>
      <c r="C212" s="208">
        <f>IFERROR(VLOOKUP($B212,'Institution Evaluation'!$A$55:$F$345,2,0),IFERROR(VLOOKUP($B212,'Privacy Analyst Evaluation'!$A$46:$F$120,2,0),""))&amp;""</f>
      </c>
      <c r="D212" s="208">
        <f>IFERROR(VLOOKUP($B212,'Institution Evaluation'!$A$55:$F$345,3,0),IFERROR(VLOOKUP($B212,'Privacy Analyst Evaluation'!$A$46:$F$120,3,0),""))&amp;""</f>
      </c>
      <c r="E212" s="208">
        <f>IFERROR(VLOOKUP($B212,'Institution Evaluation'!$A$55:$F$345,4,0),IFERROR(VLOOKUP($B212,'Privacy Analyst Evaluation'!$A$46:$F$120,4,0),""))&amp;""</f>
      </c>
      <c r="F212" s="208">
        <f>IFERROR(VLOOKUP($B212,'Institution Evaluation'!$A$55:$F$345,6,0),IFERROR(VLOOKUP($B212,'Privacy Analyst Evaluation'!$A$46:$F$120,6,0),""))&amp;""</f>
      </c>
      <c r="G212" s="209"/>
      <c r="H212" s="208" t="str">
        <f>IFERROR(IF($H211+1&gt;'(backend scoring)'!$Q$335,"",$H211+1),"")</f>
      </c>
      <c r="I212" s="208">
        <f>_xlfn.XLOOKUP($H212,'(backend scoring)'!$S$2:$S$333,'(backend scoring)'!$A$2:$A$333,"")</f>
      </c>
      <c r="J212" s="208">
        <f>IFERROR(VLOOKUP($I212,'Institution Evaluation'!$A$55:$F$345,2,0),IFERROR(VLOOKUP($I212,'Privacy Analyst Evaluation'!$A$46:$F$120,2,0),""))</f>
      </c>
      <c r="K212" s="208">
        <f>IFERROR(VLOOKUP($I212,'Institution Evaluation'!$A$55:$F$345,3,0),IFERROR(VLOOKUP($I212,'Privacy Analyst Evaluation'!$A$46:$F$120,3,0),""))&amp;""</f>
      </c>
      <c r="L212" s="208">
        <f>IFERROR(VLOOKUP($I212,'Institution Evaluation'!$A$55:$F$345,4,0),IFERROR(VLOOKUP($I212,'Privacy Analyst Evaluation'!$A$46:$F$120,4,0),""))&amp;""</f>
      </c>
      <c r="M212" s="208">
        <f>IFERROR(VLOOKUP($I212,'Institution Evaluation'!$A$55:$F$345,6,0),IFERROR(VLOOKUP($I212,'Privacy Analyst Evaluation'!$A$46:$F$120,6,0),""))&amp;""</f>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ht="17" x14ac:dyDescent="0.2">
      <c r="A213" s="208" t="str">
        <f>IFERROR(IF($A212+1&gt;'(backend scoring)'!$T$335,"",$A212+1),"")</f>
      </c>
      <c r="B213" s="208">
        <f>_xlfn.XLOOKUP($A213,'(backend scoring)'!$V$2:$V$333,'(backend scoring)'!$A$2:$A$333,"")</f>
      </c>
      <c r="C213" s="208">
        <f>IFERROR(VLOOKUP($B213,'Institution Evaluation'!$A$55:$F$345,2,0),IFERROR(VLOOKUP($B213,'Privacy Analyst Evaluation'!$A$46:$F$120,2,0),""))&amp;""</f>
      </c>
      <c r="D213" s="208">
        <f>IFERROR(VLOOKUP($B213,'Institution Evaluation'!$A$55:$F$345,3,0),IFERROR(VLOOKUP($B213,'Privacy Analyst Evaluation'!$A$46:$F$120,3,0),""))&amp;""</f>
      </c>
      <c r="E213" s="208">
        <f>IFERROR(VLOOKUP($B213,'Institution Evaluation'!$A$55:$F$345,4,0),IFERROR(VLOOKUP($B213,'Privacy Analyst Evaluation'!$A$46:$F$120,4,0),""))&amp;""</f>
      </c>
      <c r="F213" s="208">
        <f>IFERROR(VLOOKUP($B213,'Institution Evaluation'!$A$55:$F$345,6,0),IFERROR(VLOOKUP($B213,'Privacy Analyst Evaluation'!$A$46:$F$120,6,0),""))&amp;""</f>
      </c>
      <c r="G213" s="209"/>
      <c r="H213" s="208" t="str">
        <f>IFERROR(IF($H212+1&gt;'(backend scoring)'!$Q$335,"",$H212+1),"")</f>
      </c>
      <c r="I213" s="208">
        <f>_xlfn.XLOOKUP($H213,'(backend scoring)'!$S$2:$S$333,'(backend scoring)'!$A$2:$A$333,"")</f>
      </c>
      <c r="J213" s="208">
        <f>IFERROR(VLOOKUP($I213,'Institution Evaluation'!$A$55:$F$345,2,0),IFERROR(VLOOKUP($I213,'Privacy Analyst Evaluation'!$A$46:$F$120,2,0),""))</f>
      </c>
      <c r="K213" s="208">
        <f>IFERROR(VLOOKUP($I213,'Institution Evaluation'!$A$55:$F$345,3,0),IFERROR(VLOOKUP($I213,'Privacy Analyst Evaluation'!$A$46:$F$120,3,0),""))&amp;""</f>
      </c>
      <c r="L213" s="208">
        <f>IFERROR(VLOOKUP($I213,'Institution Evaluation'!$A$55:$F$345,4,0),IFERROR(VLOOKUP($I213,'Privacy Analyst Evaluation'!$A$46:$F$120,4,0),""))&amp;""</f>
      </c>
      <c r="M213" s="208">
        <f>IFERROR(VLOOKUP($I213,'Institution Evaluation'!$A$55:$F$345,6,0),IFERROR(VLOOKUP($I213,'Privacy Analyst Evaluation'!$A$46:$F$120,6,0),""))&amp;""</f>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ht="17" x14ac:dyDescent="0.2">
      <c r="A214" s="208" t="str">
        <f>IFERROR(IF($A213+1&gt;'(backend scoring)'!$T$335,"",$A213+1),"")</f>
      </c>
      <c r="B214" s="208">
        <f>_xlfn.XLOOKUP($A214,'(backend scoring)'!$V$2:$V$333,'(backend scoring)'!$A$2:$A$333,"")</f>
      </c>
      <c r="C214" s="208">
        <f>IFERROR(VLOOKUP($B214,'Institution Evaluation'!$A$55:$F$345,2,0),IFERROR(VLOOKUP($B214,'Privacy Analyst Evaluation'!$A$46:$F$120,2,0),""))&amp;""</f>
      </c>
      <c r="D214" s="208">
        <f>IFERROR(VLOOKUP($B214,'Institution Evaluation'!$A$55:$F$345,3,0),IFERROR(VLOOKUP($B214,'Privacy Analyst Evaluation'!$A$46:$F$120,3,0),""))&amp;""</f>
      </c>
      <c r="E214" s="208">
        <f>IFERROR(VLOOKUP($B214,'Institution Evaluation'!$A$55:$F$345,4,0),IFERROR(VLOOKUP($B214,'Privacy Analyst Evaluation'!$A$46:$F$120,4,0),""))&amp;""</f>
      </c>
      <c r="F214" s="208">
        <f>IFERROR(VLOOKUP($B214,'Institution Evaluation'!$A$55:$F$345,6,0),IFERROR(VLOOKUP($B214,'Privacy Analyst Evaluation'!$A$46:$F$120,6,0),""))&amp;""</f>
      </c>
      <c r="G214" s="209"/>
      <c r="H214" s="208" t="str">
        <f>IFERROR(IF($H213+1&gt;'(backend scoring)'!$Q$335,"",$H213+1),"")</f>
      </c>
      <c r="I214" s="208">
        <f>_xlfn.XLOOKUP($H214,'(backend scoring)'!$S$2:$S$333,'(backend scoring)'!$A$2:$A$333,"")</f>
      </c>
      <c r="J214" s="208">
        <f>IFERROR(VLOOKUP($I214,'Institution Evaluation'!$A$55:$F$345,2,0),IFERROR(VLOOKUP($I214,'Privacy Analyst Evaluation'!$A$46:$F$120,2,0),""))</f>
      </c>
      <c r="K214" s="208">
        <f>IFERROR(VLOOKUP($I214,'Institution Evaluation'!$A$55:$F$345,3,0),IFERROR(VLOOKUP($I214,'Privacy Analyst Evaluation'!$A$46:$F$120,3,0),""))&amp;""</f>
      </c>
      <c r="L214" s="208">
        <f>IFERROR(VLOOKUP($I214,'Institution Evaluation'!$A$55:$F$345,4,0),IFERROR(VLOOKUP($I214,'Privacy Analyst Evaluation'!$A$46:$F$120,4,0),""))&amp;""</f>
      </c>
      <c r="M214" s="208">
        <f>IFERROR(VLOOKUP($I214,'Institution Evaluation'!$A$55:$F$345,6,0),IFERROR(VLOOKUP($I214,'Privacy Analyst Evaluation'!$A$46:$F$120,6,0),""))&amp;""</f>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ht="17" x14ac:dyDescent="0.2">
      <c r="A215" s="208" t="str">
        <f>IFERROR(IF($A214+1&gt;'(backend scoring)'!$T$335,"",$A214+1),"")</f>
      </c>
      <c r="B215" s="208">
        <f>_xlfn.XLOOKUP($A215,'(backend scoring)'!$V$2:$V$333,'(backend scoring)'!$A$2:$A$333,"")</f>
      </c>
      <c r="C215" s="208">
        <f>IFERROR(VLOOKUP($B215,'Institution Evaluation'!$A$55:$F$345,2,0),IFERROR(VLOOKUP($B215,'Privacy Analyst Evaluation'!$A$46:$F$120,2,0),""))&amp;""</f>
      </c>
      <c r="D215" s="208">
        <f>IFERROR(VLOOKUP($B215,'Institution Evaluation'!$A$55:$F$345,3,0),IFERROR(VLOOKUP($B215,'Privacy Analyst Evaluation'!$A$46:$F$120,3,0),""))&amp;""</f>
      </c>
      <c r="E215" s="208">
        <f>IFERROR(VLOOKUP($B215,'Institution Evaluation'!$A$55:$F$345,4,0),IFERROR(VLOOKUP($B215,'Privacy Analyst Evaluation'!$A$46:$F$120,4,0),""))&amp;""</f>
      </c>
      <c r="F215" s="208">
        <f>IFERROR(VLOOKUP($B215,'Institution Evaluation'!$A$55:$F$345,6,0),IFERROR(VLOOKUP($B215,'Privacy Analyst Evaluation'!$A$46:$F$120,6,0),""))&amp;""</f>
      </c>
      <c r="G215" s="209"/>
      <c r="H215" s="208" t="str">
        <f>IFERROR(IF($H214+1&gt;'(backend scoring)'!$Q$335,"",$H214+1),"")</f>
      </c>
      <c r="I215" s="208">
        <f>_xlfn.XLOOKUP($H215,'(backend scoring)'!$S$2:$S$333,'(backend scoring)'!$A$2:$A$333,"")</f>
      </c>
      <c r="J215" s="208">
        <f>IFERROR(VLOOKUP($I215,'Institution Evaluation'!$A$55:$F$345,2,0),IFERROR(VLOOKUP($I215,'Privacy Analyst Evaluation'!$A$46:$F$120,2,0),""))</f>
      </c>
      <c r="K215" s="208">
        <f>IFERROR(VLOOKUP($I215,'Institution Evaluation'!$A$55:$F$345,3,0),IFERROR(VLOOKUP($I215,'Privacy Analyst Evaluation'!$A$46:$F$120,3,0),""))&amp;""</f>
      </c>
      <c r="L215" s="208">
        <f>IFERROR(VLOOKUP($I215,'Institution Evaluation'!$A$55:$F$345,4,0),IFERROR(VLOOKUP($I215,'Privacy Analyst Evaluation'!$A$46:$F$120,4,0),""))&amp;""</f>
      </c>
      <c r="M215" s="208">
        <f>IFERROR(VLOOKUP($I215,'Institution Evaluation'!$A$55:$F$345,6,0),IFERROR(VLOOKUP($I215,'Privacy Analyst Evaluation'!$A$46:$F$120,6,0),""))&amp;""</f>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ht="17" x14ac:dyDescent="0.2">
      <c r="A216" s="208" t="str">
        <f>IFERROR(IF($A215+1&gt;'(backend scoring)'!$T$335,"",$A215+1),"")</f>
      </c>
      <c r="B216" s="208">
        <f>_xlfn.XLOOKUP($A216,'(backend scoring)'!$V$2:$V$333,'(backend scoring)'!$A$2:$A$333,"")</f>
      </c>
      <c r="C216" s="208">
        <f>IFERROR(VLOOKUP($B216,'Institution Evaluation'!$A$55:$F$345,2,0),IFERROR(VLOOKUP($B216,'Privacy Analyst Evaluation'!$A$46:$F$120,2,0),""))&amp;""</f>
      </c>
      <c r="D216" s="208">
        <f>IFERROR(VLOOKUP($B216,'Institution Evaluation'!$A$55:$F$345,3,0),IFERROR(VLOOKUP($B216,'Privacy Analyst Evaluation'!$A$46:$F$120,3,0),""))&amp;""</f>
      </c>
      <c r="E216" s="208">
        <f>IFERROR(VLOOKUP($B216,'Institution Evaluation'!$A$55:$F$345,4,0),IFERROR(VLOOKUP($B216,'Privacy Analyst Evaluation'!$A$46:$F$120,4,0),""))&amp;""</f>
      </c>
      <c r="F216" s="208">
        <f>IFERROR(VLOOKUP($B216,'Institution Evaluation'!$A$55:$F$345,6,0),IFERROR(VLOOKUP($B216,'Privacy Analyst Evaluation'!$A$46:$F$120,6,0),""))&amp;""</f>
      </c>
      <c r="G216" s="209"/>
      <c r="H216" s="208" t="str">
        <f>IFERROR(IF($H215+1&gt;'(backend scoring)'!$Q$335,"",$H215+1),"")</f>
      </c>
      <c r="I216" s="208">
        <f>_xlfn.XLOOKUP($H216,'(backend scoring)'!$S$2:$S$333,'(backend scoring)'!$A$2:$A$333,"")</f>
      </c>
      <c r="J216" s="208">
        <f>IFERROR(VLOOKUP($I216,'Institution Evaluation'!$A$55:$F$345,2,0),IFERROR(VLOOKUP($I216,'Privacy Analyst Evaluation'!$A$46:$F$120,2,0),""))</f>
      </c>
      <c r="K216" s="208">
        <f>IFERROR(VLOOKUP($I216,'Institution Evaluation'!$A$55:$F$345,3,0),IFERROR(VLOOKUP($I216,'Privacy Analyst Evaluation'!$A$46:$F$120,3,0),""))&amp;""</f>
      </c>
      <c r="L216" s="208">
        <f>IFERROR(VLOOKUP($I216,'Institution Evaluation'!$A$55:$F$345,4,0),IFERROR(VLOOKUP($I216,'Privacy Analyst Evaluation'!$A$46:$F$120,4,0),""))&amp;""</f>
      </c>
      <c r="M216" s="208">
        <f>IFERROR(VLOOKUP($I216,'Institution Evaluation'!$A$55:$F$345,6,0),IFERROR(VLOOKUP($I216,'Privacy Analyst Evaluation'!$A$46:$F$120,6,0),""))&amp;""</f>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ht="17" x14ac:dyDescent="0.2">
      <c r="A217" s="208" t="str">
        <f>IFERROR(IF($A216+1&gt;'(backend scoring)'!$T$335,"",$A216+1),"")</f>
      </c>
      <c r="B217" s="208">
        <f>_xlfn.XLOOKUP($A217,'(backend scoring)'!$V$2:$V$333,'(backend scoring)'!$A$2:$A$333,"")</f>
      </c>
      <c r="C217" s="208">
        <f>IFERROR(VLOOKUP($B217,'Institution Evaluation'!$A$55:$F$345,2,0),IFERROR(VLOOKUP($B217,'Privacy Analyst Evaluation'!$A$46:$F$120,2,0),""))&amp;""</f>
      </c>
      <c r="D217" s="208">
        <f>IFERROR(VLOOKUP($B217,'Institution Evaluation'!$A$55:$F$345,3,0),IFERROR(VLOOKUP($B217,'Privacy Analyst Evaluation'!$A$46:$F$120,3,0),""))&amp;""</f>
      </c>
      <c r="E217" s="208">
        <f>IFERROR(VLOOKUP($B217,'Institution Evaluation'!$A$55:$F$345,4,0),IFERROR(VLOOKUP($B217,'Privacy Analyst Evaluation'!$A$46:$F$120,4,0),""))&amp;""</f>
      </c>
      <c r="F217" s="208">
        <f>IFERROR(VLOOKUP($B217,'Institution Evaluation'!$A$55:$F$345,6,0),IFERROR(VLOOKUP($B217,'Privacy Analyst Evaluation'!$A$46:$F$120,6,0),""))&amp;""</f>
      </c>
      <c r="G217" s="209"/>
      <c r="H217" s="208" t="str">
        <f>IFERROR(IF($H216+1&gt;'(backend scoring)'!$Q$335,"",$H216+1),"")</f>
      </c>
      <c r="I217" s="208">
        <f>_xlfn.XLOOKUP($H217,'(backend scoring)'!$S$2:$S$333,'(backend scoring)'!$A$2:$A$333,"")</f>
      </c>
      <c r="J217" s="208">
        <f>IFERROR(VLOOKUP($I217,'Institution Evaluation'!$A$55:$F$345,2,0),IFERROR(VLOOKUP($I217,'Privacy Analyst Evaluation'!$A$46:$F$120,2,0),""))</f>
      </c>
      <c r="K217" s="208">
        <f>IFERROR(VLOOKUP($I217,'Institution Evaluation'!$A$55:$F$345,3,0),IFERROR(VLOOKUP($I217,'Privacy Analyst Evaluation'!$A$46:$F$120,3,0),""))&amp;""</f>
      </c>
      <c r="L217" s="208">
        <f>IFERROR(VLOOKUP($I217,'Institution Evaluation'!$A$55:$F$345,4,0),IFERROR(VLOOKUP($I217,'Privacy Analyst Evaluation'!$A$46:$F$120,4,0),""))&amp;""</f>
      </c>
      <c r="M217" s="208">
        <f>IFERROR(VLOOKUP($I217,'Institution Evaluation'!$A$55:$F$345,6,0),IFERROR(VLOOKUP($I217,'Privacy Analyst Evaluation'!$A$46:$F$120,6,0),""))&amp;""</f>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ht="17" x14ac:dyDescent="0.2">
      <c r="A218" s="208" t="str">
        <f>IFERROR(IF($A217+1&gt;'(backend scoring)'!$T$335,"",$A217+1),"")</f>
      </c>
      <c r="B218" s="208">
        <f>_xlfn.XLOOKUP($A218,'(backend scoring)'!$V$2:$V$333,'(backend scoring)'!$A$2:$A$333,"")</f>
      </c>
      <c r="C218" s="208">
        <f>IFERROR(VLOOKUP($B218,'Institution Evaluation'!$A$55:$F$345,2,0),IFERROR(VLOOKUP($B218,'Privacy Analyst Evaluation'!$A$46:$F$120,2,0),""))&amp;""</f>
      </c>
      <c r="D218" s="208">
        <f>IFERROR(VLOOKUP($B218,'Institution Evaluation'!$A$55:$F$345,3,0),IFERROR(VLOOKUP($B218,'Privacy Analyst Evaluation'!$A$46:$F$120,3,0),""))&amp;""</f>
      </c>
      <c r="E218" s="208">
        <f>IFERROR(VLOOKUP($B218,'Institution Evaluation'!$A$55:$F$345,4,0),IFERROR(VLOOKUP($B218,'Privacy Analyst Evaluation'!$A$46:$F$120,4,0),""))&amp;""</f>
      </c>
      <c r="F218" s="208">
        <f>IFERROR(VLOOKUP($B218,'Institution Evaluation'!$A$55:$F$345,6,0),IFERROR(VLOOKUP($B218,'Privacy Analyst Evaluation'!$A$46:$F$120,6,0),""))&amp;""</f>
      </c>
      <c r="G218" s="209"/>
      <c r="H218" s="208" t="str">
        <f>IFERROR(IF($H217+1&gt;'(backend scoring)'!$Q$335,"",$H217+1),"")</f>
      </c>
      <c r="I218" s="208">
        <f>_xlfn.XLOOKUP($H218,'(backend scoring)'!$S$2:$S$333,'(backend scoring)'!$A$2:$A$333,"")</f>
      </c>
      <c r="J218" s="208">
        <f>IFERROR(VLOOKUP($I218,'Institution Evaluation'!$A$55:$F$345,2,0),IFERROR(VLOOKUP($I218,'Privacy Analyst Evaluation'!$A$46:$F$120,2,0),""))</f>
      </c>
      <c r="K218" s="208">
        <f>IFERROR(VLOOKUP($I218,'Institution Evaluation'!$A$55:$F$345,3,0),IFERROR(VLOOKUP($I218,'Privacy Analyst Evaluation'!$A$46:$F$120,3,0),""))&amp;""</f>
      </c>
      <c r="L218" s="208">
        <f>IFERROR(VLOOKUP($I218,'Institution Evaluation'!$A$55:$F$345,4,0),IFERROR(VLOOKUP($I218,'Privacy Analyst Evaluation'!$A$46:$F$120,4,0),""))&amp;""</f>
      </c>
      <c r="M218" s="208">
        <f>IFERROR(VLOOKUP($I218,'Institution Evaluation'!$A$55:$F$345,6,0),IFERROR(VLOOKUP($I218,'Privacy Analyst Evaluation'!$A$46:$F$120,6,0),""))&amp;""</f>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ht="17" x14ac:dyDescent="0.2">
      <c r="A219" s="208" t="str">
        <f>IFERROR(IF($A218+1&gt;'(backend scoring)'!$T$335,"",$A218+1),"")</f>
      </c>
      <c r="B219" s="208">
        <f>_xlfn.XLOOKUP($A219,'(backend scoring)'!$V$2:$V$333,'(backend scoring)'!$A$2:$A$333,"")</f>
      </c>
      <c r="C219" s="208">
        <f>IFERROR(VLOOKUP($B219,'Institution Evaluation'!$A$55:$F$345,2,0),IFERROR(VLOOKUP($B219,'Privacy Analyst Evaluation'!$A$46:$F$120,2,0),""))&amp;""</f>
      </c>
      <c r="D219" s="208">
        <f>IFERROR(VLOOKUP($B219,'Institution Evaluation'!$A$55:$F$345,3,0),IFERROR(VLOOKUP($B219,'Privacy Analyst Evaluation'!$A$46:$F$120,3,0),""))&amp;""</f>
      </c>
      <c r="E219" s="208">
        <f>IFERROR(VLOOKUP($B219,'Institution Evaluation'!$A$55:$F$345,4,0),IFERROR(VLOOKUP($B219,'Privacy Analyst Evaluation'!$A$46:$F$120,4,0),""))&amp;""</f>
      </c>
      <c r="F219" s="208">
        <f>IFERROR(VLOOKUP($B219,'Institution Evaluation'!$A$55:$F$345,6,0),IFERROR(VLOOKUP($B219,'Privacy Analyst Evaluation'!$A$46:$F$120,6,0),""))&amp;""</f>
      </c>
      <c r="G219" s="209"/>
      <c r="H219" s="208" t="str">
        <f>IFERROR(IF($H218+1&gt;'(backend scoring)'!$Q$335,"",$H218+1),"")</f>
      </c>
      <c r="I219" s="208">
        <f>_xlfn.XLOOKUP($H219,'(backend scoring)'!$S$2:$S$333,'(backend scoring)'!$A$2:$A$333,"")</f>
      </c>
      <c r="J219" s="208">
        <f>IFERROR(VLOOKUP($I219,'Institution Evaluation'!$A$55:$F$345,2,0),IFERROR(VLOOKUP($I219,'Privacy Analyst Evaluation'!$A$46:$F$120,2,0),""))</f>
      </c>
      <c r="K219" s="208">
        <f>IFERROR(VLOOKUP($I219,'Institution Evaluation'!$A$55:$F$345,3,0),IFERROR(VLOOKUP($I219,'Privacy Analyst Evaluation'!$A$46:$F$120,3,0),""))&amp;""</f>
      </c>
      <c r="L219" s="208">
        <f>IFERROR(VLOOKUP($I219,'Institution Evaluation'!$A$55:$F$345,4,0),IFERROR(VLOOKUP($I219,'Privacy Analyst Evaluation'!$A$46:$F$120,4,0),""))&amp;""</f>
      </c>
      <c r="M219" s="208">
        <f>IFERROR(VLOOKUP($I219,'Institution Evaluation'!$A$55:$F$345,6,0),IFERROR(VLOOKUP($I219,'Privacy Analyst Evaluation'!$A$46:$F$120,6,0),""))&amp;""</f>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ht="17" x14ac:dyDescent="0.2">
      <c r="A220" s="208" t="str">
        <f>IFERROR(IF($A219+1&gt;'(backend scoring)'!$T$335,"",$A219+1),"")</f>
      </c>
      <c r="B220" s="208">
        <f>_xlfn.XLOOKUP($A220,'(backend scoring)'!$V$2:$V$333,'(backend scoring)'!$A$2:$A$333,"")</f>
      </c>
      <c r="C220" s="208">
        <f>IFERROR(VLOOKUP($B220,'Institution Evaluation'!$A$55:$F$345,2,0),IFERROR(VLOOKUP($B220,'Privacy Analyst Evaluation'!$A$46:$F$120,2,0),""))&amp;""</f>
      </c>
      <c r="D220" s="208">
        <f>IFERROR(VLOOKUP($B220,'Institution Evaluation'!$A$55:$F$345,3,0),IFERROR(VLOOKUP($B220,'Privacy Analyst Evaluation'!$A$46:$F$120,3,0),""))&amp;""</f>
      </c>
      <c r="E220" s="208">
        <f>IFERROR(VLOOKUP($B220,'Institution Evaluation'!$A$55:$F$345,4,0),IFERROR(VLOOKUP($B220,'Privacy Analyst Evaluation'!$A$46:$F$120,4,0),""))&amp;""</f>
      </c>
      <c r="F220" s="208">
        <f>IFERROR(VLOOKUP($B220,'Institution Evaluation'!$A$55:$F$345,6,0),IFERROR(VLOOKUP($B220,'Privacy Analyst Evaluation'!$A$46:$F$120,6,0),""))&amp;""</f>
      </c>
      <c r="G220" s="209"/>
      <c r="H220" s="208" t="str">
        <f>IFERROR(IF($H219+1&gt;'(backend scoring)'!$Q$335,"",$H219+1),"")</f>
      </c>
      <c r="I220" s="208">
        <f>_xlfn.XLOOKUP($H220,'(backend scoring)'!$S$2:$S$333,'(backend scoring)'!$A$2:$A$333,"")</f>
      </c>
      <c r="J220" s="208">
        <f>IFERROR(VLOOKUP($I220,'Institution Evaluation'!$A$55:$F$345,2,0),IFERROR(VLOOKUP($I220,'Privacy Analyst Evaluation'!$A$46:$F$120,2,0),""))</f>
      </c>
      <c r="K220" s="208">
        <f>IFERROR(VLOOKUP($I220,'Institution Evaluation'!$A$55:$F$345,3,0),IFERROR(VLOOKUP($I220,'Privacy Analyst Evaluation'!$A$46:$F$120,3,0),""))&amp;""</f>
      </c>
      <c r="L220" s="208">
        <f>IFERROR(VLOOKUP($I220,'Institution Evaluation'!$A$55:$F$345,4,0),IFERROR(VLOOKUP($I220,'Privacy Analyst Evaluation'!$A$46:$F$120,4,0),""))&amp;""</f>
      </c>
      <c r="M220" s="208">
        <f>IFERROR(VLOOKUP($I220,'Institution Evaluation'!$A$55:$F$345,6,0),IFERROR(VLOOKUP($I220,'Privacy Analyst Evaluation'!$A$46:$F$120,6,0),""))&amp;""</f>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ht="17" x14ac:dyDescent="0.2">
      <c r="A221" s="208" t="str">
        <f>IFERROR(IF($A220+1&gt;'(backend scoring)'!$T$335,"",$A220+1),"")</f>
      </c>
      <c r="B221" s="208">
        <f>_xlfn.XLOOKUP($A221,'(backend scoring)'!$V$2:$V$333,'(backend scoring)'!$A$2:$A$333,"")</f>
      </c>
      <c r="C221" s="208">
        <f>IFERROR(VLOOKUP($B221,'Institution Evaluation'!$A$55:$F$345,2,0),IFERROR(VLOOKUP($B221,'Privacy Analyst Evaluation'!$A$46:$F$120,2,0),""))&amp;""</f>
      </c>
      <c r="D221" s="208">
        <f>IFERROR(VLOOKUP($B221,'Institution Evaluation'!$A$55:$F$345,3,0),IFERROR(VLOOKUP($B221,'Privacy Analyst Evaluation'!$A$46:$F$120,3,0),""))&amp;""</f>
      </c>
      <c r="E221" s="208">
        <f>IFERROR(VLOOKUP($B221,'Institution Evaluation'!$A$55:$F$345,4,0),IFERROR(VLOOKUP($B221,'Privacy Analyst Evaluation'!$A$46:$F$120,4,0),""))&amp;""</f>
      </c>
      <c r="F221" s="208">
        <f>IFERROR(VLOOKUP($B221,'Institution Evaluation'!$A$55:$F$345,6,0),IFERROR(VLOOKUP($B221,'Privacy Analyst Evaluation'!$A$46:$F$120,6,0),""))&amp;""</f>
      </c>
      <c r="G221" s="209"/>
      <c r="H221" s="208" t="str">
        <f>IFERROR(IF($H220+1&gt;'(backend scoring)'!$Q$335,"",$H220+1),"")</f>
      </c>
      <c r="I221" s="208">
        <f>_xlfn.XLOOKUP($H221,'(backend scoring)'!$S$2:$S$333,'(backend scoring)'!$A$2:$A$333,"")</f>
      </c>
      <c r="J221" s="208">
        <f>IFERROR(VLOOKUP($I221,'Institution Evaluation'!$A$55:$F$345,2,0),IFERROR(VLOOKUP($I221,'Privacy Analyst Evaluation'!$A$46:$F$120,2,0),""))</f>
      </c>
      <c r="K221" s="208">
        <f>IFERROR(VLOOKUP($I221,'Institution Evaluation'!$A$55:$F$345,3,0),IFERROR(VLOOKUP($I221,'Privacy Analyst Evaluation'!$A$46:$F$120,3,0),""))&amp;""</f>
      </c>
      <c r="L221" s="208">
        <f>IFERROR(VLOOKUP($I221,'Institution Evaluation'!$A$55:$F$345,4,0),IFERROR(VLOOKUP($I221,'Privacy Analyst Evaluation'!$A$46:$F$120,4,0),""))&amp;""</f>
      </c>
      <c r="M221" s="208">
        <f>IFERROR(VLOOKUP($I221,'Institution Evaluation'!$A$55:$F$345,6,0),IFERROR(VLOOKUP($I221,'Privacy Analyst Evaluation'!$A$46:$F$120,6,0),""))&amp;""</f>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ht="17" x14ac:dyDescent="0.2">
      <c r="A222" s="208" t="str">
        <f>IFERROR(IF($A221+1&gt;'(backend scoring)'!$T$335,"",$A221+1),"")</f>
      </c>
      <c r="B222" s="208">
        <f>_xlfn.XLOOKUP($A222,'(backend scoring)'!$V$2:$V$333,'(backend scoring)'!$A$2:$A$333,"")</f>
      </c>
      <c r="C222" s="208">
        <f>IFERROR(VLOOKUP($B222,'Institution Evaluation'!$A$55:$F$345,2,0),IFERROR(VLOOKUP($B222,'Privacy Analyst Evaluation'!$A$46:$F$120,2,0),""))&amp;""</f>
      </c>
      <c r="D222" s="208">
        <f>IFERROR(VLOOKUP($B222,'Institution Evaluation'!$A$55:$F$345,3,0),IFERROR(VLOOKUP($B222,'Privacy Analyst Evaluation'!$A$46:$F$120,3,0),""))&amp;""</f>
      </c>
      <c r="E222" s="208">
        <f>IFERROR(VLOOKUP($B222,'Institution Evaluation'!$A$55:$F$345,4,0),IFERROR(VLOOKUP($B222,'Privacy Analyst Evaluation'!$A$46:$F$120,4,0),""))&amp;""</f>
      </c>
      <c r="F222" s="208">
        <f>IFERROR(VLOOKUP($B222,'Institution Evaluation'!$A$55:$F$345,6,0),IFERROR(VLOOKUP($B222,'Privacy Analyst Evaluation'!$A$46:$F$120,6,0),""))&amp;""</f>
      </c>
      <c r="G222" s="209"/>
      <c r="H222" s="208" t="str">
        <f>IFERROR(IF($H221+1&gt;'(backend scoring)'!$Q$335,"",$H221+1),"")</f>
      </c>
      <c r="I222" s="208">
        <f>_xlfn.XLOOKUP($H222,'(backend scoring)'!$S$2:$S$333,'(backend scoring)'!$A$2:$A$333,"")</f>
      </c>
      <c r="J222" s="208">
        <f>IFERROR(VLOOKUP($I222,'Institution Evaluation'!$A$55:$F$345,2,0),IFERROR(VLOOKUP($I222,'Privacy Analyst Evaluation'!$A$46:$F$120,2,0),""))</f>
      </c>
      <c r="K222" s="208">
        <f>IFERROR(VLOOKUP($I222,'Institution Evaluation'!$A$55:$F$345,3,0),IFERROR(VLOOKUP($I222,'Privacy Analyst Evaluation'!$A$46:$F$120,3,0),""))&amp;""</f>
      </c>
      <c r="L222" s="208">
        <f>IFERROR(VLOOKUP($I222,'Institution Evaluation'!$A$55:$F$345,4,0),IFERROR(VLOOKUP($I222,'Privacy Analyst Evaluation'!$A$46:$F$120,4,0),""))&amp;""</f>
      </c>
      <c r="M222" s="208">
        <f>IFERROR(VLOOKUP($I222,'Institution Evaluation'!$A$55:$F$345,6,0),IFERROR(VLOOKUP($I222,'Privacy Analyst Evaluation'!$A$46:$F$120,6,0),""))&amp;""</f>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ht="17" x14ac:dyDescent="0.2">
      <c r="A223" s="208" t="str">
        <f>IFERROR(IF($A222+1&gt;'(backend scoring)'!$T$335,"",$A222+1),"")</f>
      </c>
      <c r="B223" s="208">
        <f>_xlfn.XLOOKUP($A223,'(backend scoring)'!$V$2:$V$333,'(backend scoring)'!$A$2:$A$333,"")</f>
      </c>
      <c r="C223" s="208">
        <f>IFERROR(VLOOKUP($B223,'Institution Evaluation'!$A$55:$F$345,2,0),IFERROR(VLOOKUP($B223,'Privacy Analyst Evaluation'!$A$46:$F$120,2,0),""))&amp;""</f>
      </c>
      <c r="D223" s="208">
        <f>IFERROR(VLOOKUP($B223,'Institution Evaluation'!$A$55:$F$345,3,0),IFERROR(VLOOKUP($B223,'Privacy Analyst Evaluation'!$A$46:$F$120,3,0),""))&amp;""</f>
      </c>
      <c r="E223" s="208">
        <f>IFERROR(VLOOKUP($B223,'Institution Evaluation'!$A$55:$F$345,4,0),IFERROR(VLOOKUP($B223,'Privacy Analyst Evaluation'!$A$46:$F$120,4,0),""))&amp;""</f>
      </c>
      <c r="F223" s="208">
        <f>IFERROR(VLOOKUP($B223,'Institution Evaluation'!$A$55:$F$345,6,0),IFERROR(VLOOKUP($B223,'Privacy Analyst Evaluation'!$A$46:$F$120,6,0),""))&amp;""</f>
      </c>
      <c r="G223" s="209"/>
      <c r="H223" s="208" t="str">
        <f>IFERROR(IF($H222+1&gt;'(backend scoring)'!$Q$335,"",$H222+1),"")</f>
      </c>
      <c r="I223" s="208">
        <f>_xlfn.XLOOKUP($H223,'(backend scoring)'!$S$2:$S$333,'(backend scoring)'!$A$2:$A$333,"")</f>
      </c>
      <c r="J223" s="208">
        <f>IFERROR(VLOOKUP($I223,'Institution Evaluation'!$A$55:$F$345,2,0),IFERROR(VLOOKUP($I223,'Privacy Analyst Evaluation'!$A$46:$F$120,2,0),""))</f>
      </c>
      <c r="K223" s="208">
        <f>IFERROR(VLOOKUP($I223,'Institution Evaluation'!$A$55:$F$345,3,0),IFERROR(VLOOKUP($I223,'Privacy Analyst Evaluation'!$A$46:$F$120,3,0),""))&amp;""</f>
      </c>
      <c r="L223" s="208">
        <f>IFERROR(VLOOKUP($I223,'Institution Evaluation'!$A$55:$F$345,4,0),IFERROR(VLOOKUP($I223,'Privacy Analyst Evaluation'!$A$46:$F$120,4,0),""))&amp;""</f>
      </c>
      <c r="M223" s="208">
        <f>IFERROR(VLOOKUP($I223,'Institution Evaluation'!$A$55:$F$345,6,0),IFERROR(VLOOKUP($I223,'Privacy Analyst Evaluation'!$A$46:$F$120,6,0),""))&amp;""</f>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ht="17" x14ac:dyDescent="0.2">
      <c r="A224" s="208" t="str">
        <f>IFERROR(IF($A223+1&gt;'(backend scoring)'!$T$335,"",$A223+1),"")</f>
      </c>
      <c r="B224" s="208">
        <f>_xlfn.XLOOKUP($A224,'(backend scoring)'!$V$2:$V$333,'(backend scoring)'!$A$2:$A$333,"")</f>
      </c>
      <c r="C224" s="208">
        <f>IFERROR(VLOOKUP($B224,'Institution Evaluation'!$A$55:$F$345,2,0),IFERROR(VLOOKUP($B224,'Privacy Analyst Evaluation'!$A$46:$F$120,2,0),""))&amp;""</f>
      </c>
      <c r="D224" s="208">
        <f>IFERROR(VLOOKUP($B224,'Institution Evaluation'!$A$55:$F$345,3,0),IFERROR(VLOOKUP($B224,'Privacy Analyst Evaluation'!$A$46:$F$120,3,0),""))&amp;""</f>
      </c>
      <c r="E224" s="208">
        <f>IFERROR(VLOOKUP($B224,'Institution Evaluation'!$A$55:$F$345,4,0),IFERROR(VLOOKUP($B224,'Privacy Analyst Evaluation'!$A$46:$F$120,4,0),""))&amp;""</f>
      </c>
      <c r="F224" s="208">
        <f>IFERROR(VLOOKUP($B224,'Institution Evaluation'!$A$55:$F$345,6,0),IFERROR(VLOOKUP($B224,'Privacy Analyst Evaluation'!$A$46:$F$120,6,0),""))&amp;""</f>
      </c>
      <c r="G224" s="209"/>
      <c r="H224" s="208" t="str">
        <f>IFERROR(IF($H223+1&gt;'(backend scoring)'!$Q$335,"",$H223+1),"")</f>
      </c>
      <c r="I224" s="208">
        <f>_xlfn.XLOOKUP($H224,'(backend scoring)'!$S$2:$S$333,'(backend scoring)'!$A$2:$A$333,"")</f>
      </c>
      <c r="J224" s="208">
        <f>IFERROR(VLOOKUP($I224,'Institution Evaluation'!$A$55:$F$345,2,0),IFERROR(VLOOKUP($I224,'Privacy Analyst Evaluation'!$A$46:$F$120,2,0),""))</f>
      </c>
      <c r="K224" s="208">
        <f>IFERROR(VLOOKUP($I224,'Institution Evaluation'!$A$55:$F$345,3,0),IFERROR(VLOOKUP($I224,'Privacy Analyst Evaluation'!$A$46:$F$120,3,0),""))&amp;""</f>
      </c>
      <c r="L224" s="208">
        <f>IFERROR(VLOOKUP($I224,'Institution Evaluation'!$A$55:$F$345,4,0),IFERROR(VLOOKUP($I224,'Privacy Analyst Evaluation'!$A$46:$F$120,4,0),""))&amp;""</f>
      </c>
      <c r="M224" s="208">
        <f>IFERROR(VLOOKUP($I224,'Institution Evaluation'!$A$55:$F$345,6,0),IFERROR(VLOOKUP($I224,'Privacy Analyst Evaluation'!$A$46:$F$120,6,0),""))&amp;""</f>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ht="17" x14ac:dyDescent="0.2">
      <c r="A225" s="208" t="str">
        <f>IFERROR(IF($A224+1&gt;'(backend scoring)'!$T$335,"",$A224+1),"")</f>
      </c>
      <c r="B225" s="208">
        <f>_xlfn.XLOOKUP($A225,'(backend scoring)'!$V$2:$V$333,'(backend scoring)'!$A$2:$A$333,"")</f>
      </c>
      <c r="C225" s="208">
        <f>IFERROR(VLOOKUP($B225,'Institution Evaluation'!$A$55:$F$345,2,0),IFERROR(VLOOKUP($B225,'Privacy Analyst Evaluation'!$A$46:$F$120,2,0),""))&amp;""</f>
      </c>
      <c r="D225" s="208">
        <f>IFERROR(VLOOKUP($B225,'Institution Evaluation'!$A$55:$F$345,3,0),IFERROR(VLOOKUP($B225,'Privacy Analyst Evaluation'!$A$46:$F$120,3,0),""))&amp;""</f>
      </c>
      <c r="E225" s="208">
        <f>IFERROR(VLOOKUP($B225,'Institution Evaluation'!$A$55:$F$345,4,0),IFERROR(VLOOKUP($B225,'Privacy Analyst Evaluation'!$A$46:$F$120,4,0),""))&amp;""</f>
      </c>
      <c r="F225" s="208">
        <f>IFERROR(VLOOKUP($B225,'Institution Evaluation'!$A$55:$F$345,6,0),IFERROR(VLOOKUP($B225,'Privacy Analyst Evaluation'!$A$46:$F$120,6,0),""))&amp;""</f>
      </c>
      <c r="G225" s="209"/>
      <c r="H225" s="208" t="str">
        <f>IFERROR(IF($H224+1&gt;'(backend scoring)'!$Q$335,"",$H224+1),"")</f>
      </c>
      <c r="I225" s="208">
        <f>_xlfn.XLOOKUP($H225,'(backend scoring)'!$S$2:$S$333,'(backend scoring)'!$A$2:$A$333,"")</f>
      </c>
      <c r="J225" s="208">
        <f>IFERROR(VLOOKUP($I225,'Institution Evaluation'!$A$55:$F$345,2,0),IFERROR(VLOOKUP($I225,'Privacy Analyst Evaluation'!$A$46:$F$120,2,0),""))</f>
      </c>
      <c r="K225" s="208">
        <f>IFERROR(VLOOKUP($I225,'Institution Evaluation'!$A$55:$F$345,3,0),IFERROR(VLOOKUP($I225,'Privacy Analyst Evaluation'!$A$46:$F$120,3,0),""))&amp;""</f>
      </c>
      <c r="L225" s="208">
        <f>IFERROR(VLOOKUP($I225,'Institution Evaluation'!$A$55:$F$345,4,0),IFERROR(VLOOKUP($I225,'Privacy Analyst Evaluation'!$A$46:$F$120,4,0),""))&amp;""</f>
      </c>
      <c r="M225" s="208">
        <f>IFERROR(VLOOKUP($I225,'Institution Evaluation'!$A$55:$F$345,6,0),IFERROR(VLOOKUP($I225,'Privacy Analyst Evaluation'!$A$46:$F$120,6,0),""))&amp;""</f>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ht="17" x14ac:dyDescent="0.2">
      <c r="A226" s="208" t="str">
        <f>IFERROR(IF($A225+1&gt;'(backend scoring)'!$T$335,"",$A225+1),"")</f>
      </c>
      <c r="B226" s="208">
        <f>_xlfn.XLOOKUP($A226,'(backend scoring)'!$V$2:$V$333,'(backend scoring)'!$A$2:$A$333,"")</f>
      </c>
      <c r="C226" s="208">
        <f>IFERROR(VLOOKUP($B226,'Institution Evaluation'!$A$55:$F$345,2,0),IFERROR(VLOOKUP($B226,'Privacy Analyst Evaluation'!$A$46:$F$120,2,0),""))&amp;""</f>
      </c>
      <c r="D226" s="208">
        <f>IFERROR(VLOOKUP($B226,'Institution Evaluation'!$A$55:$F$345,3,0),IFERROR(VLOOKUP($B226,'Privacy Analyst Evaluation'!$A$46:$F$120,3,0),""))&amp;""</f>
      </c>
      <c r="E226" s="208">
        <f>IFERROR(VLOOKUP($B226,'Institution Evaluation'!$A$55:$F$345,4,0),IFERROR(VLOOKUP($B226,'Privacy Analyst Evaluation'!$A$46:$F$120,4,0),""))&amp;""</f>
      </c>
      <c r="F226" s="208">
        <f>IFERROR(VLOOKUP($B226,'Institution Evaluation'!$A$55:$F$345,6,0),IFERROR(VLOOKUP($B226,'Privacy Analyst Evaluation'!$A$46:$F$120,6,0),""))&amp;""</f>
      </c>
      <c r="G226" s="209"/>
      <c r="H226" s="208" t="str">
        <f>IFERROR(IF($H225+1&gt;'(backend scoring)'!$Q$335,"",$H225+1),"")</f>
      </c>
      <c r="I226" s="208">
        <f>_xlfn.XLOOKUP($H226,'(backend scoring)'!$S$2:$S$333,'(backend scoring)'!$A$2:$A$333,"")</f>
      </c>
      <c r="J226" s="208">
        <f>IFERROR(VLOOKUP($I226,'Institution Evaluation'!$A$55:$F$345,2,0),IFERROR(VLOOKUP($I226,'Privacy Analyst Evaluation'!$A$46:$F$120,2,0),""))</f>
      </c>
      <c r="K226" s="208">
        <f>IFERROR(VLOOKUP($I226,'Institution Evaluation'!$A$55:$F$345,3,0),IFERROR(VLOOKUP($I226,'Privacy Analyst Evaluation'!$A$46:$F$120,3,0),""))&amp;""</f>
      </c>
      <c r="L226" s="208">
        <f>IFERROR(VLOOKUP($I226,'Institution Evaluation'!$A$55:$F$345,4,0),IFERROR(VLOOKUP($I226,'Privacy Analyst Evaluation'!$A$46:$F$120,4,0),""))&amp;""</f>
      </c>
      <c r="M226" s="208">
        <f>IFERROR(VLOOKUP($I226,'Institution Evaluation'!$A$55:$F$345,6,0),IFERROR(VLOOKUP($I226,'Privacy Analyst Evaluation'!$A$46:$F$120,6,0),""))&amp;""</f>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ht="17" x14ac:dyDescent="0.2">
      <c r="A227" s="208" t="str">
        <f>IFERROR(IF($A226+1&gt;'(backend scoring)'!$T$335,"",$A226+1),"")</f>
      </c>
      <c r="B227" s="208">
        <f>_xlfn.XLOOKUP($A227,'(backend scoring)'!$V$2:$V$333,'(backend scoring)'!$A$2:$A$333,"")</f>
      </c>
      <c r="C227" s="208">
        <f>IFERROR(VLOOKUP($B227,'Institution Evaluation'!$A$55:$F$345,2,0),IFERROR(VLOOKUP($B227,'Privacy Analyst Evaluation'!$A$46:$F$120,2,0),""))&amp;""</f>
      </c>
      <c r="D227" s="208">
        <f>IFERROR(VLOOKUP($B227,'Institution Evaluation'!$A$55:$F$345,3,0),IFERROR(VLOOKUP($B227,'Privacy Analyst Evaluation'!$A$46:$F$120,3,0),""))&amp;""</f>
      </c>
      <c r="E227" s="208">
        <f>IFERROR(VLOOKUP($B227,'Institution Evaluation'!$A$55:$F$345,4,0),IFERROR(VLOOKUP($B227,'Privacy Analyst Evaluation'!$A$46:$F$120,4,0),""))&amp;""</f>
      </c>
      <c r="F227" s="208">
        <f>IFERROR(VLOOKUP($B227,'Institution Evaluation'!$A$55:$F$345,6,0),IFERROR(VLOOKUP($B227,'Privacy Analyst Evaluation'!$A$46:$F$120,6,0),""))&amp;""</f>
      </c>
      <c r="G227" s="209"/>
      <c r="H227" s="208" t="str">
        <f>IFERROR(IF($H226+1&gt;'(backend scoring)'!$Q$335,"",$H226+1),"")</f>
      </c>
      <c r="I227" s="208">
        <f>_xlfn.XLOOKUP($H227,'(backend scoring)'!$S$2:$S$333,'(backend scoring)'!$A$2:$A$333,"")</f>
      </c>
      <c r="J227" s="208">
        <f>IFERROR(VLOOKUP($I227,'Institution Evaluation'!$A$55:$F$345,2,0),IFERROR(VLOOKUP($I227,'Privacy Analyst Evaluation'!$A$46:$F$120,2,0),""))</f>
      </c>
      <c r="K227" s="208">
        <f>IFERROR(VLOOKUP($I227,'Institution Evaluation'!$A$55:$F$345,3,0),IFERROR(VLOOKUP($I227,'Privacy Analyst Evaluation'!$A$46:$F$120,3,0),""))&amp;""</f>
      </c>
      <c r="L227" s="208">
        <f>IFERROR(VLOOKUP($I227,'Institution Evaluation'!$A$55:$F$345,4,0),IFERROR(VLOOKUP($I227,'Privacy Analyst Evaluation'!$A$46:$F$120,4,0),""))&amp;""</f>
      </c>
      <c r="M227" s="208">
        <f>IFERROR(VLOOKUP($I227,'Institution Evaluation'!$A$55:$F$345,6,0),IFERROR(VLOOKUP($I227,'Privacy Analyst Evaluation'!$A$46:$F$120,6,0),""))&amp;""</f>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ht="17" x14ac:dyDescent="0.2">
      <c r="A228" s="208" t="str">
        <f>IFERROR(IF($A227+1&gt;'(backend scoring)'!$T$335,"",$A227+1),"")</f>
      </c>
      <c r="B228" s="208">
        <f>_xlfn.XLOOKUP($A228,'(backend scoring)'!$V$2:$V$333,'(backend scoring)'!$A$2:$A$333,"")</f>
      </c>
      <c r="C228" s="208">
        <f>IFERROR(VLOOKUP($B228,'Institution Evaluation'!$A$55:$F$345,2,0),IFERROR(VLOOKUP($B228,'Privacy Analyst Evaluation'!$A$46:$F$120,2,0),""))&amp;""</f>
      </c>
      <c r="D228" s="208">
        <f>IFERROR(VLOOKUP($B228,'Institution Evaluation'!$A$55:$F$345,3,0),IFERROR(VLOOKUP($B228,'Privacy Analyst Evaluation'!$A$46:$F$120,3,0),""))&amp;""</f>
      </c>
      <c r="E228" s="208">
        <f>IFERROR(VLOOKUP($B228,'Institution Evaluation'!$A$55:$F$345,4,0),IFERROR(VLOOKUP($B228,'Privacy Analyst Evaluation'!$A$46:$F$120,4,0),""))&amp;""</f>
      </c>
      <c r="F228" s="208">
        <f>IFERROR(VLOOKUP($B228,'Institution Evaluation'!$A$55:$F$345,6,0),IFERROR(VLOOKUP($B228,'Privacy Analyst Evaluation'!$A$46:$F$120,6,0),""))&amp;""</f>
      </c>
      <c r="G228" s="209"/>
      <c r="H228" s="208" t="str">
        <f>IFERROR(IF($H227+1&gt;'(backend scoring)'!$Q$335,"",$H227+1),"")</f>
      </c>
      <c r="I228" s="208">
        <f>_xlfn.XLOOKUP($H228,'(backend scoring)'!$S$2:$S$333,'(backend scoring)'!$A$2:$A$333,"")</f>
      </c>
      <c r="J228" s="208">
        <f>IFERROR(VLOOKUP($I228,'Institution Evaluation'!$A$55:$F$345,2,0),IFERROR(VLOOKUP($I228,'Privacy Analyst Evaluation'!$A$46:$F$120,2,0),""))</f>
      </c>
      <c r="K228" s="208">
        <f>IFERROR(VLOOKUP($I228,'Institution Evaluation'!$A$55:$F$345,3,0),IFERROR(VLOOKUP($I228,'Privacy Analyst Evaluation'!$A$46:$F$120,3,0),""))&amp;""</f>
      </c>
      <c r="L228" s="208">
        <f>IFERROR(VLOOKUP($I228,'Institution Evaluation'!$A$55:$F$345,4,0),IFERROR(VLOOKUP($I228,'Privacy Analyst Evaluation'!$A$46:$F$120,4,0),""))&amp;""</f>
      </c>
      <c r="M228" s="208">
        <f>IFERROR(VLOOKUP($I228,'Institution Evaluation'!$A$55:$F$345,6,0),IFERROR(VLOOKUP($I228,'Privacy Analyst Evaluation'!$A$46:$F$120,6,0),""))&amp;""</f>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ht="17" x14ac:dyDescent="0.2">
      <c r="A229" s="208" t="str">
        <f>IFERROR(IF($A228+1&gt;'(backend scoring)'!$T$335,"",$A228+1),"")</f>
      </c>
      <c r="B229" s="208">
        <f>_xlfn.XLOOKUP($A229,'(backend scoring)'!$V$2:$V$333,'(backend scoring)'!$A$2:$A$333,"")</f>
      </c>
      <c r="C229" s="208">
        <f>IFERROR(VLOOKUP($B229,'Institution Evaluation'!$A$55:$F$345,2,0),IFERROR(VLOOKUP($B229,'Privacy Analyst Evaluation'!$A$46:$F$120,2,0),""))&amp;""</f>
      </c>
      <c r="D229" s="208">
        <f>IFERROR(VLOOKUP($B229,'Institution Evaluation'!$A$55:$F$345,3,0),IFERROR(VLOOKUP($B229,'Privacy Analyst Evaluation'!$A$46:$F$120,3,0),""))&amp;""</f>
      </c>
      <c r="E229" s="208">
        <f>IFERROR(VLOOKUP($B229,'Institution Evaluation'!$A$55:$F$345,4,0),IFERROR(VLOOKUP($B229,'Privacy Analyst Evaluation'!$A$46:$F$120,4,0),""))&amp;""</f>
      </c>
      <c r="F229" s="208">
        <f>IFERROR(VLOOKUP($B229,'Institution Evaluation'!$A$55:$F$345,6,0),IFERROR(VLOOKUP($B229,'Privacy Analyst Evaluation'!$A$46:$F$120,6,0),""))&amp;""</f>
      </c>
      <c r="G229" s="209"/>
      <c r="H229" s="208" t="str">
        <f>IFERROR(IF($H228+1&gt;'(backend scoring)'!$Q$335,"",$H228+1),"")</f>
      </c>
      <c r="I229" s="208">
        <f>_xlfn.XLOOKUP($H229,'(backend scoring)'!$S$2:$S$333,'(backend scoring)'!$A$2:$A$333,"")</f>
      </c>
      <c r="J229" s="208">
        <f>IFERROR(VLOOKUP($I229,'Institution Evaluation'!$A$55:$F$345,2,0),IFERROR(VLOOKUP($I229,'Privacy Analyst Evaluation'!$A$46:$F$120,2,0),""))</f>
      </c>
      <c r="K229" s="208">
        <f>IFERROR(VLOOKUP($I229,'Institution Evaluation'!$A$55:$F$345,3,0),IFERROR(VLOOKUP($I229,'Privacy Analyst Evaluation'!$A$46:$F$120,3,0),""))&amp;""</f>
      </c>
      <c r="L229" s="208">
        <f>IFERROR(VLOOKUP($I229,'Institution Evaluation'!$A$55:$F$345,4,0),IFERROR(VLOOKUP($I229,'Privacy Analyst Evaluation'!$A$46:$F$120,4,0),""))&amp;""</f>
      </c>
      <c r="M229" s="208">
        <f>IFERROR(VLOOKUP($I229,'Institution Evaluation'!$A$55:$F$345,6,0),IFERROR(VLOOKUP($I229,'Privacy Analyst Evaluation'!$A$46:$F$120,6,0),""))&amp;""</f>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ht="17" x14ac:dyDescent="0.2">
      <c r="A230" s="208" t="str">
        <f>IFERROR(IF($A229+1&gt;'(backend scoring)'!$T$335,"",$A229+1),"")</f>
      </c>
      <c r="B230" s="208">
        <f>_xlfn.XLOOKUP($A230,'(backend scoring)'!$V$2:$V$333,'(backend scoring)'!$A$2:$A$333,"")</f>
      </c>
      <c r="C230" s="208">
        <f>IFERROR(VLOOKUP($B230,'Institution Evaluation'!$A$55:$F$345,2,0),IFERROR(VLOOKUP($B230,'Privacy Analyst Evaluation'!$A$46:$F$120,2,0),""))&amp;""</f>
      </c>
      <c r="D230" s="208">
        <f>IFERROR(VLOOKUP($B230,'Institution Evaluation'!$A$55:$F$345,3,0),IFERROR(VLOOKUP($B230,'Privacy Analyst Evaluation'!$A$46:$F$120,3,0),""))&amp;""</f>
      </c>
      <c r="E230" s="208">
        <f>IFERROR(VLOOKUP($B230,'Institution Evaluation'!$A$55:$F$345,4,0),IFERROR(VLOOKUP($B230,'Privacy Analyst Evaluation'!$A$46:$F$120,4,0),""))&amp;""</f>
      </c>
      <c r="F230" s="208">
        <f>IFERROR(VLOOKUP($B230,'Institution Evaluation'!$A$55:$F$345,6,0),IFERROR(VLOOKUP($B230,'Privacy Analyst Evaluation'!$A$46:$F$120,6,0),""))&amp;""</f>
      </c>
      <c r="G230" s="209"/>
      <c r="H230" s="208" t="str">
        <f>IFERROR(IF($H229+1&gt;'(backend scoring)'!$Q$335,"",$H229+1),"")</f>
      </c>
      <c r="I230" s="208">
        <f>_xlfn.XLOOKUP($H230,'(backend scoring)'!$S$2:$S$333,'(backend scoring)'!$A$2:$A$333,"")</f>
      </c>
      <c r="J230" s="208">
        <f>IFERROR(VLOOKUP($I230,'Institution Evaluation'!$A$55:$F$345,2,0),IFERROR(VLOOKUP($I230,'Privacy Analyst Evaluation'!$A$46:$F$120,2,0),""))</f>
      </c>
      <c r="K230" s="208">
        <f>IFERROR(VLOOKUP($I230,'Institution Evaluation'!$A$55:$F$345,3,0),IFERROR(VLOOKUP($I230,'Privacy Analyst Evaluation'!$A$46:$F$120,3,0),""))&amp;""</f>
      </c>
      <c r="L230" s="208">
        <f>IFERROR(VLOOKUP($I230,'Institution Evaluation'!$A$55:$F$345,4,0),IFERROR(VLOOKUP($I230,'Privacy Analyst Evaluation'!$A$46:$F$120,4,0),""))&amp;""</f>
      </c>
      <c r="M230" s="208">
        <f>IFERROR(VLOOKUP($I230,'Institution Evaluation'!$A$55:$F$345,6,0),IFERROR(VLOOKUP($I230,'Privacy Analyst Evaluation'!$A$46:$F$120,6,0),""))&amp;""</f>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ht="17" x14ac:dyDescent="0.2">
      <c r="A231" s="208" t="str">
        <f>IFERROR(IF($A230+1&gt;'(backend scoring)'!$T$335,"",$A230+1),"")</f>
      </c>
      <c r="B231" s="208">
        <f>_xlfn.XLOOKUP($A231,'(backend scoring)'!$V$2:$V$333,'(backend scoring)'!$A$2:$A$333,"")</f>
      </c>
      <c r="C231" s="208">
        <f>IFERROR(VLOOKUP($B231,'Institution Evaluation'!$A$55:$F$345,2,0),IFERROR(VLOOKUP($B231,'Privacy Analyst Evaluation'!$A$46:$F$120,2,0),""))&amp;""</f>
      </c>
      <c r="D231" s="208">
        <f>IFERROR(VLOOKUP($B231,'Institution Evaluation'!$A$55:$F$345,3,0),IFERROR(VLOOKUP($B231,'Privacy Analyst Evaluation'!$A$46:$F$120,3,0),""))&amp;""</f>
      </c>
      <c r="E231" s="208">
        <f>IFERROR(VLOOKUP($B231,'Institution Evaluation'!$A$55:$F$345,4,0),IFERROR(VLOOKUP($B231,'Privacy Analyst Evaluation'!$A$46:$F$120,4,0),""))&amp;""</f>
      </c>
      <c r="F231" s="208">
        <f>IFERROR(VLOOKUP($B231,'Institution Evaluation'!$A$55:$F$345,6,0),IFERROR(VLOOKUP($B231,'Privacy Analyst Evaluation'!$A$46:$F$120,6,0),""))&amp;""</f>
      </c>
      <c r="G231" s="209"/>
      <c r="H231" s="208" t="str">
        <f>IFERROR(IF($H230+1&gt;'(backend scoring)'!$Q$335,"",$H230+1),"")</f>
      </c>
      <c r="I231" s="208">
        <f>_xlfn.XLOOKUP($H231,'(backend scoring)'!$S$2:$S$333,'(backend scoring)'!$A$2:$A$333,"")</f>
      </c>
      <c r="J231" s="208">
        <f>IFERROR(VLOOKUP($I231,'Institution Evaluation'!$A$55:$F$345,2,0),IFERROR(VLOOKUP($I231,'Privacy Analyst Evaluation'!$A$46:$F$120,2,0),""))</f>
      </c>
      <c r="K231" s="208">
        <f>IFERROR(VLOOKUP($I231,'Institution Evaluation'!$A$55:$F$345,3,0),IFERROR(VLOOKUP($I231,'Privacy Analyst Evaluation'!$A$46:$F$120,3,0),""))&amp;""</f>
      </c>
      <c r="L231" s="208">
        <f>IFERROR(VLOOKUP($I231,'Institution Evaluation'!$A$55:$F$345,4,0),IFERROR(VLOOKUP($I231,'Privacy Analyst Evaluation'!$A$46:$F$120,4,0),""))&amp;""</f>
      </c>
      <c r="M231" s="208">
        <f>IFERROR(VLOOKUP($I231,'Institution Evaluation'!$A$55:$F$345,6,0),IFERROR(VLOOKUP($I231,'Privacy Analyst Evaluation'!$A$46:$F$120,6,0),""))&amp;""</f>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ht="17" x14ac:dyDescent="0.2">
      <c r="A232" s="208" t="str">
        <f>IFERROR(IF($A231+1&gt;'(backend scoring)'!$T$335,"",$A231+1),"")</f>
      </c>
      <c r="B232" s="208">
        <f>_xlfn.XLOOKUP($A232,'(backend scoring)'!$V$2:$V$333,'(backend scoring)'!$A$2:$A$333,"")</f>
      </c>
      <c r="C232" s="208">
        <f>IFERROR(VLOOKUP($B232,'Institution Evaluation'!$A$55:$F$345,2,0),IFERROR(VLOOKUP($B232,'Privacy Analyst Evaluation'!$A$46:$F$120,2,0),""))&amp;""</f>
      </c>
      <c r="D232" s="208">
        <f>IFERROR(VLOOKUP($B232,'Institution Evaluation'!$A$55:$F$345,3,0),IFERROR(VLOOKUP($B232,'Privacy Analyst Evaluation'!$A$46:$F$120,3,0),""))&amp;""</f>
      </c>
      <c r="E232" s="208">
        <f>IFERROR(VLOOKUP($B232,'Institution Evaluation'!$A$55:$F$345,4,0),IFERROR(VLOOKUP($B232,'Privacy Analyst Evaluation'!$A$46:$F$120,4,0),""))&amp;""</f>
      </c>
      <c r="F232" s="208">
        <f>IFERROR(VLOOKUP($B232,'Institution Evaluation'!$A$55:$F$345,6,0),IFERROR(VLOOKUP($B232,'Privacy Analyst Evaluation'!$A$46:$F$120,6,0),""))&amp;""</f>
      </c>
      <c r="G232" s="209"/>
      <c r="H232" s="208" t="str">
        <f>IFERROR(IF($H231+1&gt;'(backend scoring)'!$Q$335,"",$H231+1),"")</f>
      </c>
      <c r="I232" s="208">
        <f>_xlfn.XLOOKUP($H232,'(backend scoring)'!$S$2:$S$333,'(backend scoring)'!$A$2:$A$333,"")</f>
      </c>
      <c r="J232" s="208">
        <f>IFERROR(VLOOKUP($I232,'Institution Evaluation'!$A$55:$F$345,2,0),IFERROR(VLOOKUP($I232,'Privacy Analyst Evaluation'!$A$46:$F$120,2,0),""))</f>
      </c>
      <c r="K232" s="208">
        <f>IFERROR(VLOOKUP($I232,'Institution Evaluation'!$A$55:$F$345,3,0),IFERROR(VLOOKUP($I232,'Privacy Analyst Evaluation'!$A$46:$F$120,3,0),""))&amp;""</f>
      </c>
      <c r="L232" s="208">
        <f>IFERROR(VLOOKUP($I232,'Institution Evaluation'!$A$55:$F$345,4,0),IFERROR(VLOOKUP($I232,'Privacy Analyst Evaluation'!$A$46:$F$120,4,0),""))&amp;""</f>
      </c>
      <c r="M232" s="208">
        <f>IFERROR(VLOOKUP($I232,'Institution Evaluation'!$A$55:$F$345,6,0),IFERROR(VLOOKUP($I232,'Privacy Analyst Evaluation'!$A$46:$F$120,6,0),""))&amp;""</f>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ht="17" x14ac:dyDescent="0.2">
      <c r="A233" s="208" t="str">
        <f>IFERROR(IF($A232+1&gt;'(backend scoring)'!$T$335,"",$A232+1),"")</f>
      </c>
      <c r="B233" s="208">
        <f>_xlfn.XLOOKUP($A233,'(backend scoring)'!$V$2:$V$333,'(backend scoring)'!$A$2:$A$333,"")</f>
      </c>
      <c r="C233" s="208">
        <f>IFERROR(VLOOKUP($B233,'Institution Evaluation'!$A$55:$F$345,2,0),IFERROR(VLOOKUP($B233,'Privacy Analyst Evaluation'!$A$46:$F$120,2,0),""))&amp;""</f>
      </c>
      <c r="D233" s="208">
        <f>IFERROR(VLOOKUP($B233,'Institution Evaluation'!$A$55:$F$345,3,0),IFERROR(VLOOKUP($B233,'Privacy Analyst Evaluation'!$A$46:$F$120,3,0),""))&amp;""</f>
      </c>
      <c r="E233" s="208">
        <f>IFERROR(VLOOKUP($B233,'Institution Evaluation'!$A$55:$F$345,4,0),IFERROR(VLOOKUP($B233,'Privacy Analyst Evaluation'!$A$46:$F$120,4,0),""))&amp;""</f>
      </c>
      <c r="F233" s="208">
        <f>IFERROR(VLOOKUP($B233,'Institution Evaluation'!$A$55:$F$345,6,0),IFERROR(VLOOKUP($B233,'Privacy Analyst Evaluation'!$A$46:$F$120,6,0),""))&amp;""</f>
      </c>
      <c r="G233" s="209"/>
      <c r="H233" s="208" t="str">
        <f>IFERROR(IF($H232+1&gt;'(backend scoring)'!$Q$335,"",$H232+1),"")</f>
      </c>
      <c r="I233" s="208">
        <f>_xlfn.XLOOKUP($H233,'(backend scoring)'!$S$2:$S$333,'(backend scoring)'!$A$2:$A$333,"")</f>
      </c>
      <c r="J233" s="208">
        <f>IFERROR(VLOOKUP($I233,'Institution Evaluation'!$A$55:$F$345,2,0),IFERROR(VLOOKUP($I233,'Privacy Analyst Evaluation'!$A$46:$F$120,2,0),""))</f>
      </c>
      <c r="K233" s="208">
        <f>IFERROR(VLOOKUP($I233,'Institution Evaluation'!$A$55:$F$345,3,0),IFERROR(VLOOKUP($I233,'Privacy Analyst Evaluation'!$A$46:$F$120,3,0),""))&amp;""</f>
      </c>
      <c r="L233" s="208">
        <f>IFERROR(VLOOKUP($I233,'Institution Evaluation'!$A$55:$F$345,4,0),IFERROR(VLOOKUP($I233,'Privacy Analyst Evaluation'!$A$46:$F$120,4,0),""))&amp;""</f>
      </c>
      <c r="M233" s="208">
        <f>IFERROR(VLOOKUP($I233,'Institution Evaluation'!$A$55:$F$345,6,0),IFERROR(VLOOKUP($I233,'Privacy Analyst Evaluation'!$A$46:$F$120,6,0),""))&amp;""</f>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ht="17" x14ac:dyDescent="0.2">
      <c r="A234" s="208" t="str">
        <f>IFERROR(IF($A233+1&gt;'(backend scoring)'!$T$335,"",$A233+1),"")</f>
      </c>
      <c r="B234" s="208">
        <f>_xlfn.XLOOKUP($A234,'(backend scoring)'!$V$2:$V$333,'(backend scoring)'!$A$2:$A$333,"")</f>
      </c>
      <c r="C234" s="208">
        <f>IFERROR(VLOOKUP($B234,'Institution Evaluation'!$A$55:$F$345,2,0),IFERROR(VLOOKUP($B234,'Privacy Analyst Evaluation'!$A$46:$F$120,2,0),""))&amp;""</f>
      </c>
      <c r="D234" s="208">
        <f>IFERROR(VLOOKUP($B234,'Institution Evaluation'!$A$55:$F$345,3,0),IFERROR(VLOOKUP($B234,'Privacy Analyst Evaluation'!$A$46:$F$120,3,0),""))&amp;""</f>
      </c>
      <c r="E234" s="208">
        <f>IFERROR(VLOOKUP($B234,'Institution Evaluation'!$A$55:$F$345,4,0),IFERROR(VLOOKUP($B234,'Privacy Analyst Evaluation'!$A$46:$F$120,4,0),""))&amp;""</f>
      </c>
      <c r="F234" s="208">
        <f>IFERROR(VLOOKUP($B234,'Institution Evaluation'!$A$55:$F$345,6,0),IFERROR(VLOOKUP($B234,'Privacy Analyst Evaluation'!$A$46:$F$120,6,0),""))&amp;""</f>
      </c>
      <c r="G234" s="209"/>
      <c r="H234" s="208" t="str">
        <f>IFERROR(IF($H233+1&gt;'(backend scoring)'!$Q$335,"",$H233+1),"")</f>
      </c>
      <c r="I234" s="208">
        <f>_xlfn.XLOOKUP($H234,'(backend scoring)'!$S$2:$S$333,'(backend scoring)'!$A$2:$A$333,"")</f>
      </c>
      <c r="J234" s="208">
        <f>IFERROR(VLOOKUP($I234,'Institution Evaluation'!$A$55:$F$345,2,0),IFERROR(VLOOKUP($I234,'Privacy Analyst Evaluation'!$A$46:$F$120,2,0),""))</f>
      </c>
      <c r="K234" s="208">
        <f>IFERROR(VLOOKUP($I234,'Institution Evaluation'!$A$55:$F$345,3,0),IFERROR(VLOOKUP($I234,'Privacy Analyst Evaluation'!$A$46:$F$120,3,0),""))&amp;""</f>
      </c>
      <c r="L234" s="208">
        <f>IFERROR(VLOOKUP($I234,'Institution Evaluation'!$A$55:$F$345,4,0),IFERROR(VLOOKUP($I234,'Privacy Analyst Evaluation'!$A$46:$F$120,4,0),""))&amp;""</f>
      </c>
      <c r="M234" s="208">
        <f>IFERROR(VLOOKUP($I234,'Institution Evaluation'!$A$55:$F$345,6,0),IFERROR(VLOOKUP($I234,'Privacy Analyst Evaluation'!$A$46:$F$120,6,0),""))&amp;""</f>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ht="17" x14ac:dyDescent="0.2">
      <c r="A235" s="208" t="str">
        <f>IFERROR(IF($A234+1&gt;'(backend scoring)'!$T$335,"",$A234+1),"")</f>
      </c>
      <c r="B235" s="208">
        <f>_xlfn.XLOOKUP($A235,'(backend scoring)'!$V$2:$V$333,'(backend scoring)'!$A$2:$A$333,"")</f>
      </c>
      <c r="C235" s="208">
        <f>IFERROR(VLOOKUP($B235,'Institution Evaluation'!$A$55:$F$345,2,0),IFERROR(VLOOKUP($B235,'Privacy Analyst Evaluation'!$A$46:$F$120,2,0),""))&amp;""</f>
      </c>
      <c r="D235" s="208">
        <f>IFERROR(VLOOKUP($B235,'Institution Evaluation'!$A$55:$F$345,3,0),IFERROR(VLOOKUP($B235,'Privacy Analyst Evaluation'!$A$46:$F$120,3,0),""))&amp;""</f>
      </c>
      <c r="E235" s="208">
        <f>IFERROR(VLOOKUP($B235,'Institution Evaluation'!$A$55:$F$345,4,0),IFERROR(VLOOKUP($B235,'Privacy Analyst Evaluation'!$A$46:$F$120,4,0),""))&amp;""</f>
      </c>
      <c r="F235" s="208">
        <f>IFERROR(VLOOKUP($B235,'Institution Evaluation'!$A$55:$F$345,6,0),IFERROR(VLOOKUP($B235,'Privacy Analyst Evaluation'!$A$46:$F$120,6,0),""))&amp;""</f>
      </c>
      <c r="G235" s="209"/>
      <c r="H235" s="208" t="str">
        <f>IFERROR(IF($H234+1&gt;'(backend scoring)'!$Q$335,"",$H234+1),"")</f>
      </c>
      <c r="I235" s="208">
        <f>_xlfn.XLOOKUP($H235,'(backend scoring)'!$S$2:$S$333,'(backend scoring)'!$A$2:$A$333,"")</f>
      </c>
      <c r="J235" s="208">
        <f>IFERROR(VLOOKUP($I235,'Institution Evaluation'!$A$55:$F$345,2,0),IFERROR(VLOOKUP($I235,'Privacy Analyst Evaluation'!$A$46:$F$120,2,0),""))</f>
      </c>
      <c r="K235" s="208">
        <f>IFERROR(VLOOKUP($I235,'Institution Evaluation'!$A$55:$F$345,3,0),IFERROR(VLOOKUP($I235,'Privacy Analyst Evaluation'!$A$46:$F$120,3,0),""))&amp;""</f>
      </c>
      <c r="L235" s="208">
        <f>IFERROR(VLOOKUP($I235,'Institution Evaluation'!$A$55:$F$345,4,0),IFERROR(VLOOKUP($I235,'Privacy Analyst Evaluation'!$A$46:$F$120,4,0),""))&amp;""</f>
      </c>
      <c r="M235" s="208">
        <f>IFERROR(VLOOKUP($I235,'Institution Evaluation'!$A$55:$F$345,6,0),IFERROR(VLOOKUP($I235,'Privacy Analyst Evaluation'!$A$46:$F$120,6,0),""))&amp;""</f>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ht="17" x14ac:dyDescent="0.2">
      <c r="A236" s="208" t="str">
        <f>IFERROR(IF($A235+1&gt;'(backend scoring)'!$T$335,"",$A235+1),"")</f>
      </c>
      <c r="B236" s="208">
        <f>_xlfn.XLOOKUP($A236,'(backend scoring)'!$V$2:$V$333,'(backend scoring)'!$A$2:$A$333,"")</f>
      </c>
      <c r="C236" s="208">
        <f>IFERROR(VLOOKUP($B236,'Institution Evaluation'!$A$55:$F$345,2,0),IFERROR(VLOOKUP($B236,'Privacy Analyst Evaluation'!$A$46:$F$120,2,0),""))&amp;""</f>
      </c>
      <c r="D236" s="208">
        <f>IFERROR(VLOOKUP($B236,'Institution Evaluation'!$A$55:$F$345,3,0),IFERROR(VLOOKUP($B236,'Privacy Analyst Evaluation'!$A$46:$F$120,3,0),""))&amp;""</f>
      </c>
      <c r="E236" s="208">
        <f>IFERROR(VLOOKUP($B236,'Institution Evaluation'!$A$55:$F$345,4,0),IFERROR(VLOOKUP($B236,'Privacy Analyst Evaluation'!$A$46:$F$120,4,0),""))&amp;""</f>
      </c>
      <c r="F236" s="208">
        <f>IFERROR(VLOOKUP($B236,'Institution Evaluation'!$A$55:$F$345,6,0),IFERROR(VLOOKUP($B236,'Privacy Analyst Evaluation'!$A$46:$F$120,6,0),""))&amp;""</f>
      </c>
      <c r="G236" s="209"/>
      <c r="H236" s="208" t="str">
        <f>IFERROR(IF($H235+1&gt;'(backend scoring)'!$Q$335,"",$H235+1),"")</f>
      </c>
      <c r="I236" s="208">
        <f>_xlfn.XLOOKUP($H236,'(backend scoring)'!$S$2:$S$333,'(backend scoring)'!$A$2:$A$333,"")</f>
      </c>
      <c r="J236" s="208">
        <f>IFERROR(VLOOKUP($I236,'Institution Evaluation'!$A$55:$F$345,2,0),IFERROR(VLOOKUP($I236,'Privacy Analyst Evaluation'!$A$46:$F$120,2,0),""))</f>
      </c>
      <c r="K236" s="208">
        <f>IFERROR(VLOOKUP($I236,'Institution Evaluation'!$A$55:$F$345,3,0),IFERROR(VLOOKUP($I236,'Privacy Analyst Evaluation'!$A$46:$F$120,3,0),""))&amp;""</f>
      </c>
      <c r="L236" s="208">
        <f>IFERROR(VLOOKUP($I236,'Institution Evaluation'!$A$55:$F$345,4,0),IFERROR(VLOOKUP($I236,'Privacy Analyst Evaluation'!$A$46:$F$120,4,0),""))&amp;""</f>
      </c>
      <c r="M236" s="208">
        <f>IFERROR(VLOOKUP($I236,'Institution Evaluation'!$A$55:$F$345,6,0),IFERROR(VLOOKUP($I236,'Privacy Analyst Evaluation'!$A$46:$F$120,6,0),""))&amp;""</f>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ht="17" x14ac:dyDescent="0.2">
      <c r="A237" s="208" t="str">
        <f>IFERROR(IF($A236+1&gt;'(backend scoring)'!$T$335,"",$A236+1),"")</f>
      </c>
      <c r="B237" s="208">
        <f>_xlfn.XLOOKUP($A237,'(backend scoring)'!$V$2:$V$333,'(backend scoring)'!$A$2:$A$333,"")</f>
      </c>
      <c r="C237" s="208">
        <f>IFERROR(VLOOKUP($B237,'Institution Evaluation'!$A$55:$F$345,2,0),IFERROR(VLOOKUP($B237,'Privacy Analyst Evaluation'!$A$46:$F$120,2,0),""))&amp;""</f>
      </c>
      <c r="D237" s="208">
        <f>IFERROR(VLOOKUP($B237,'Institution Evaluation'!$A$55:$F$345,3,0),IFERROR(VLOOKUP($B237,'Privacy Analyst Evaluation'!$A$46:$F$120,3,0),""))&amp;""</f>
      </c>
      <c r="E237" s="208">
        <f>IFERROR(VLOOKUP($B237,'Institution Evaluation'!$A$55:$F$345,4,0),IFERROR(VLOOKUP($B237,'Privacy Analyst Evaluation'!$A$46:$F$120,4,0),""))&amp;""</f>
      </c>
      <c r="F237" s="208">
        <f>IFERROR(VLOOKUP($B237,'Institution Evaluation'!$A$55:$F$345,6,0),IFERROR(VLOOKUP($B237,'Privacy Analyst Evaluation'!$A$46:$F$120,6,0),""))&amp;""</f>
      </c>
      <c r="G237" s="209"/>
      <c r="H237" s="208" t="str">
        <f>IFERROR(IF($H236+1&gt;'(backend scoring)'!$Q$335,"",$H236+1),"")</f>
      </c>
      <c r="I237" s="208">
        <f>_xlfn.XLOOKUP($H237,'(backend scoring)'!$S$2:$S$333,'(backend scoring)'!$A$2:$A$333,"")</f>
      </c>
      <c r="J237" s="208">
        <f>IFERROR(VLOOKUP($I237,'Institution Evaluation'!$A$55:$F$345,2,0),IFERROR(VLOOKUP($I237,'Privacy Analyst Evaluation'!$A$46:$F$120,2,0),""))</f>
      </c>
      <c r="K237" s="208">
        <f>IFERROR(VLOOKUP($I237,'Institution Evaluation'!$A$55:$F$345,3,0),IFERROR(VLOOKUP($I237,'Privacy Analyst Evaluation'!$A$46:$F$120,3,0),""))&amp;""</f>
      </c>
      <c r="L237" s="208">
        <f>IFERROR(VLOOKUP($I237,'Institution Evaluation'!$A$55:$F$345,4,0),IFERROR(VLOOKUP($I237,'Privacy Analyst Evaluation'!$A$46:$F$120,4,0),""))&amp;""</f>
      </c>
      <c r="M237" s="208">
        <f>IFERROR(VLOOKUP($I237,'Institution Evaluation'!$A$55:$F$345,6,0),IFERROR(VLOOKUP($I237,'Privacy Analyst Evaluation'!$A$46:$F$120,6,0),""))&amp;""</f>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ht="17" x14ac:dyDescent="0.2">
      <c r="A238" s="208" t="str">
        <f>IFERROR(IF($A237+1&gt;'(backend scoring)'!$T$335,"",$A237+1),"")</f>
      </c>
      <c r="B238" s="208">
        <f>_xlfn.XLOOKUP($A238,'(backend scoring)'!$V$2:$V$333,'(backend scoring)'!$A$2:$A$333,"")</f>
      </c>
      <c r="C238" s="208">
        <f>IFERROR(VLOOKUP($B238,'Institution Evaluation'!$A$55:$F$345,2,0),IFERROR(VLOOKUP($B238,'Privacy Analyst Evaluation'!$A$46:$F$120,2,0),""))&amp;""</f>
      </c>
      <c r="D238" s="208">
        <f>IFERROR(VLOOKUP($B238,'Institution Evaluation'!$A$55:$F$345,3,0),IFERROR(VLOOKUP($B238,'Privacy Analyst Evaluation'!$A$46:$F$120,3,0),""))&amp;""</f>
      </c>
      <c r="E238" s="208">
        <f>IFERROR(VLOOKUP($B238,'Institution Evaluation'!$A$55:$F$345,4,0),IFERROR(VLOOKUP($B238,'Privacy Analyst Evaluation'!$A$46:$F$120,4,0),""))&amp;""</f>
      </c>
      <c r="F238" s="208">
        <f>IFERROR(VLOOKUP($B238,'Institution Evaluation'!$A$55:$F$345,6,0),IFERROR(VLOOKUP($B238,'Privacy Analyst Evaluation'!$A$46:$F$120,6,0),""))&amp;""</f>
      </c>
      <c r="G238" s="209"/>
      <c r="H238" s="208" t="str">
        <f>IFERROR(IF($H237+1&gt;'(backend scoring)'!$Q$335,"",$H237+1),"")</f>
      </c>
      <c r="I238" s="208">
        <f>_xlfn.XLOOKUP($H238,'(backend scoring)'!$S$2:$S$333,'(backend scoring)'!$A$2:$A$333,"")</f>
      </c>
      <c r="J238" s="208">
        <f>IFERROR(VLOOKUP($I238,'Institution Evaluation'!$A$55:$F$345,2,0),IFERROR(VLOOKUP($I238,'Privacy Analyst Evaluation'!$A$46:$F$120,2,0),""))</f>
      </c>
      <c r="K238" s="208">
        <f>IFERROR(VLOOKUP($I238,'Institution Evaluation'!$A$55:$F$345,3,0),IFERROR(VLOOKUP($I238,'Privacy Analyst Evaluation'!$A$46:$F$120,3,0),""))&amp;""</f>
      </c>
      <c r="L238" s="208">
        <f>IFERROR(VLOOKUP($I238,'Institution Evaluation'!$A$55:$F$345,4,0),IFERROR(VLOOKUP($I238,'Privacy Analyst Evaluation'!$A$46:$F$120,4,0),""))&amp;""</f>
      </c>
      <c r="M238" s="208">
        <f>IFERROR(VLOOKUP($I238,'Institution Evaluation'!$A$55:$F$345,6,0),IFERROR(VLOOKUP($I238,'Privacy Analyst Evaluation'!$A$46:$F$120,6,0),""))&amp;""</f>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ht="17" x14ac:dyDescent="0.2">
      <c r="A239" s="208" t="str">
        <f>IFERROR(IF($A238+1&gt;'(backend scoring)'!$T$335,"",$A238+1),"")</f>
      </c>
      <c r="B239" s="208">
        <f>_xlfn.XLOOKUP($A239,'(backend scoring)'!$V$2:$V$333,'(backend scoring)'!$A$2:$A$333,"")</f>
      </c>
      <c r="C239" s="208">
        <f>IFERROR(VLOOKUP($B239,'Institution Evaluation'!$A$55:$F$345,2,0),IFERROR(VLOOKUP($B239,'Privacy Analyst Evaluation'!$A$46:$F$120,2,0),""))&amp;""</f>
      </c>
      <c r="D239" s="208">
        <f>IFERROR(VLOOKUP($B239,'Institution Evaluation'!$A$55:$F$345,3,0),IFERROR(VLOOKUP($B239,'Privacy Analyst Evaluation'!$A$46:$F$120,3,0),""))&amp;""</f>
      </c>
      <c r="E239" s="208">
        <f>IFERROR(VLOOKUP($B239,'Institution Evaluation'!$A$55:$F$345,4,0),IFERROR(VLOOKUP($B239,'Privacy Analyst Evaluation'!$A$46:$F$120,4,0),""))&amp;""</f>
      </c>
      <c r="F239" s="208">
        <f>IFERROR(VLOOKUP($B239,'Institution Evaluation'!$A$55:$F$345,6,0),IFERROR(VLOOKUP($B239,'Privacy Analyst Evaluation'!$A$46:$F$120,6,0),""))&amp;""</f>
      </c>
      <c r="G239" s="209"/>
      <c r="H239" s="208" t="str">
        <f>IFERROR(IF($H238+1&gt;'(backend scoring)'!$Q$335,"",$H238+1),"")</f>
      </c>
      <c r="I239" s="208">
        <f>_xlfn.XLOOKUP($H239,'(backend scoring)'!$S$2:$S$333,'(backend scoring)'!$A$2:$A$333,"")</f>
      </c>
      <c r="J239" s="208">
        <f>IFERROR(VLOOKUP($I239,'Institution Evaluation'!$A$55:$F$345,2,0),IFERROR(VLOOKUP($I239,'Privacy Analyst Evaluation'!$A$46:$F$120,2,0),""))</f>
      </c>
      <c r="K239" s="208">
        <f>IFERROR(VLOOKUP($I239,'Institution Evaluation'!$A$55:$F$345,3,0),IFERROR(VLOOKUP($I239,'Privacy Analyst Evaluation'!$A$46:$F$120,3,0),""))&amp;""</f>
      </c>
      <c r="L239" s="208">
        <f>IFERROR(VLOOKUP($I239,'Institution Evaluation'!$A$55:$F$345,4,0),IFERROR(VLOOKUP($I239,'Privacy Analyst Evaluation'!$A$46:$F$120,4,0),""))&amp;""</f>
      </c>
      <c r="M239" s="208">
        <f>IFERROR(VLOOKUP($I239,'Institution Evaluation'!$A$55:$F$345,6,0),IFERROR(VLOOKUP($I239,'Privacy Analyst Evaluation'!$A$46:$F$120,6,0),""))&amp;""</f>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ht="17" x14ac:dyDescent="0.2">
      <c r="A240" s="208" t="str">
        <f>IFERROR(IF($A239+1&gt;'(backend scoring)'!$T$335,"",$A239+1),"")</f>
      </c>
      <c r="B240" s="208">
        <f>_xlfn.XLOOKUP($A240,'(backend scoring)'!$V$2:$V$333,'(backend scoring)'!$A$2:$A$333,"")</f>
      </c>
      <c r="C240" s="208">
        <f>IFERROR(VLOOKUP($B240,'Institution Evaluation'!$A$55:$F$345,2,0),IFERROR(VLOOKUP($B240,'Privacy Analyst Evaluation'!$A$46:$F$120,2,0),""))&amp;""</f>
      </c>
      <c r="D240" s="208">
        <f>IFERROR(VLOOKUP($B240,'Institution Evaluation'!$A$55:$F$345,3,0),IFERROR(VLOOKUP($B240,'Privacy Analyst Evaluation'!$A$46:$F$120,3,0),""))&amp;""</f>
      </c>
      <c r="E240" s="208">
        <f>IFERROR(VLOOKUP($B240,'Institution Evaluation'!$A$55:$F$345,4,0),IFERROR(VLOOKUP($B240,'Privacy Analyst Evaluation'!$A$46:$F$120,4,0),""))&amp;""</f>
      </c>
      <c r="F240" s="208">
        <f>IFERROR(VLOOKUP($B240,'Institution Evaluation'!$A$55:$F$345,6,0),IFERROR(VLOOKUP($B240,'Privacy Analyst Evaluation'!$A$46:$F$120,6,0),""))&amp;""</f>
      </c>
      <c r="G240" s="209"/>
      <c r="H240" s="208" t="str">
        <f>IFERROR(IF($H239+1&gt;'(backend scoring)'!$Q$335,"",$H239+1),"")</f>
      </c>
      <c r="I240" s="208">
        <f>_xlfn.XLOOKUP($H240,'(backend scoring)'!$S$2:$S$333,'(backend scoring)'!$A$2:$A$333,"")</f>
      </c>
      <c r="J240" s="208">
        <f>IFERROR(VLOOKUP($I240,'Institution Evaluation'!$A$55:$F$345,2,0),IFERROR(VLOOKUP($I240,'Privacy Analyst Evaluation'!$A$46:$F$120,2,0),""))</f>
      </c>
      <c r="K240" s="208">
        <f>IFERROR(VLOOKUP($I240,'Institution Evaluation'!$A$55:$F$345,3,0),IFERROR(VLOOKUP($I240,'Privacy Analyst Evaluation'!$A$46:$F$120,3,0),""))&amp;""</f>
      </c>
      <c r="L240" s="208">
        <f>IFERROR(VLOOKUP($I240,'Institution Evaluation'!$A$55:$F$345,4,0),IFERROR(VLOOKUP($I240,'Privacy Analyst Evaluation'!$A$46:$F$120,4,0),""))&amp;""</f>
      </c>
      <c r="M240" s="208">
        <f>IFERROR(VLOOKUP($I240,'Institution Evaluation'!$A$55:$F$345,6,0),IFERROR(VLOOKUP($I240,'Privacy Analyst Evaluation'!$A$46:$F$120,6,0),""))&amp;""</f>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ht="17" x14ac:dyDescent="0.2">
      <c r="A241" s="208" t="str">
        <f>IFERROR(IF($A240+1&gt;'(backend scoring)'!$T$335,"",$A240+1),"")</f>
      </c>
      <c r="B241" s="208">
        <f>_xlfn.XLOOKUP($A241,'(backend scoring)'!$V$2:$V$333,'(backend scoring)'!$A$2:$A$333,"")</f>
      </c>
      <c r="C241" s="208">
        <f>IFERROR(VLOOKUP($B241,'Institution Evaluation'!$A$55:$F$345,2,0),IFERROR(VLOOKUP($B241,'Privacy Analyst Evaluation'!$A$46:$F$120,2,0),""))&amp;""</f>
      </c>
      <c r="D241" s="208">
        <f>IFERROR(VLOOKUP($B241,'Institution Evaluation'!$A$55:$F$345,3,0),IFERROR(VLOOKUP($B241,'Privacy Analyst Evaluation'!$A$46:$F$120,3,0),""))&amp;""</f>
      </c>
      <c r="E241" s="208">
        <f>IFERROR(VLOOKUP($B241,'Institution Evaluation'!$A$55:$F$345,4,0),IFERROR(VLOOKUP($B241,'Privacy Analyst Evaluation'!$A$46:$F$120,4,0),""))&amp;""</f>
      </c>
      <c r="F241" s="208">
        <f>IFERROR(VLOOKUP($B241,'Institution Evaluation'!$A$55:$F$345,6,0),IFERROR(VLOOKUP($B241,'Privacy Analyst Evaluation'!$A$46:$F$120,6,0),""))&amp;""</f>
      </c>
      <c r="G241" s="209"/>
      <c r="H241" s="208" t="str">
        <f>IFERROR(IF($H240+1&gt;'(backend scoring)'!$Q$335,"",$H240+1),"")</f>
      </c>
      <c r="I241" s="208">
        <f>_xlfn.XLOOKUP($H241,'(backend scoring)'!$S$2:$S$333,'(backend scoring)'!$A$2:$A$333,"")</f>
      </c>
      <c r="J241" s="208">
        <f>IFERROR(VLOOKUP($I241,'Institution Evaluation'!$A$55:$F$345,2,0),IFERROR(VLOOKUP($I241,'Privacy Analyst Evaluation'!$A$46:$F$120,2,0),""))</f>
      </c>
      <c r="K241" s="208">
        <f>IFERROR(VLOOKUP($I241,'Institution Evaluation'!$A$55:$F$345,3,0),IFERROR(VLOOKUP($I241,'Privacy Analyst Evaluation'!$A$46:$F$120,3,0),""))&amp;""</f>
      </c>
      <c r="L241" s="208">
        <f>IFERROR(VLOOKUP($I241,'Institution Evaluation'!$A$55:$F$345,4,0),IFERROR(VLOOKUP($I241,'Privacy Analyst Evaluation'!$A$46:$F$120,4,0),""))&amp;""</f>
      </c>
      <c r="M241" s="208">
        <f>IFERROR(VLOOKUP($I241,'Institution Evaluation'!$A$55:$F$345,6,0),IFERROR(VLOOKUP($I241,'Privacy Analyst Evaluation'!$A$46:$F$120,6,0),""))&amp;""</f>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ht="17" x14ac:dyDescent="0.2">
      <c r="A242" s="208" t="str">
        <f>IFERROR(IF($A241+1&gt;'(backend scoring)'!$T$335,"",$A241+1),"")</f>
      </c>
      <c r="B242" s="208">
        <f>_xlfn.XLOOKUP($A242,'(backend scoring)'!$V$2:$V$333,'(backend scoring)'!$A$2:$A$333,"")</f>
      </c>
      <c r="C242" s="208">
        <f>IFERROR(VLOOKUP($B242,'Institution Evaluation'!$A$55:$F$345,2,0),IFERROR(VLOOKUP($B242,'Privacy Analyst Evaluation'!$A$46:$F$120,2,0),""))&amp;""</f>
      </c>
      <c r="D242" s="208">
        <f>IFERROR(VLOOKUP($B242,'Institution Evaluation'!$A$55:$F$345,3,0),IFERROR(VLOOKUP($B242,'Privacy Analyst Evaluation'!$A$46:$F$120,3,0),""))&amp;""</f>
      </c>
      <c r="E242" s="208">
        <f>IFERROR(VLOOKUP($B242,'Institution Evaluation'!$A$55:$F$345,4,0),IFERROR(VLOOKUP($B242,'Privacy Analyst Evaluation'!$A$46:$F$120,4,0),""))&amp;""</f>
      </c>
      <c r="F242" s="208">
        <f>IFERROR(VLOOKUP($B242,'Institution Evaluation'!$A$55:$F$345,6,0),IFERROR(VLOOKUP($B242,'Privacy Analyst Evaluation'!$A$46:$F$120,6,0),""))&amp;""</f>
      </c>
      <c r="G242" s="209"/>
      <c r="H242" s="208" t="str">
        <f>IFERROR(IF($H241+1&gt;'(backend scoring)'!$Q$335,"",$H241+1),"")</f>
      </c>
      <c r="I242" s="208">
        <f>_xlfn.XLOOKUP($H242,'(backend scoring)'!$S$2:$S$333,'(backend scoring)'!$A$2:$A$333,"")</f>
      </c>
      <c r="J242" s="208">
        <f>IFERROR(VLOOKUP($I242,'Institution Evaluation'!$A$55:$F$345,2,0),IFERROR(VLOOKUP($I242,'Privacy Analyst Evaluation'!$A$46:$F$120,2,0),""))</f>
      </c>
      <c r="K242" s="208">
        <f>IFERROR(VLOOKUP($I242,'Institution Evaluation'!$A$55:$F$345,3,0),IFERROR(VLOOKUP($I242,'Privacy Analyst Evaluation'!$A$46:$F$120,3,0),""))&amp;""</f>
      </c>
      <c r="L242" s="208">
        <f>IFERROR(VLOOKUP($I242,'Institution Evaluation'!$A$55:$F$345,4,0),IFERROR(VLOOKUP($I242,'Privacy Analyst Evaluation'!$A$46:$F$120,4,0),""))&amp;""</f>
      </c>
      <c r="M242" s="208">
        <f>IFERROR(VLOOKUP($I242,'Institution Evaluation'!$A$55:$F$345,6,0),IFERROR(VLOOKUP($I242,'Privacy Analyst Evaluation'!$A$46:$F$120,6,0),""))&amp;""</f>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ht="17" x14ac:dyDescent="0.2">
      <c r="A243" s="208" t="str">
        <f>IFERROR(IF($A242+1&gt;'(backend scoring)'!$T$335,"",$A242+1),"")</f>
      </c>
      <c r="B243" s="208">
        <f>_xlfn.XLOOKUP($A243,'(backend scoring)'!$V$2:$V$333,'(backend scoring)'!$A$2:$A$333,"")</f>
      </c>
      <c r="C243" s="208">
        <f>IFERROR(VLOOKUP($B243,'Institution Evaluation'!$A$55:$F$345,2,0),IFERROR(VLOOKUP($B243,'Privacy Analyst Evaluation'!$A$46:$F$120,2,0),""))&amp;""</f>
      </c>
      <c r="D243" s="208">
        <f>IFERROR(VLOOKUP($B243,'Institution Evaluation'!$A$55:$F$345,3,0),IFERROR(VLOOKUP($B243,'Privacy Analyst Evaluation'!$A$46:$F$120,3,0),""))&amp;""</f>
      </c>
      <c r="E243" s="208">
        <f>IFERROR(VLOOKUP($B243,'Institution Evaluation'!$A$55:$F$345,4,0),IFERROR(VLOOKUP($B243,'Privacy Analyst Evaluation'!$A$46:$F$120,4,0),""))&amp;""</f>
      </c>
      <c r="F243" s="208">
        <f>IFERROR(VLOOKUP($B243,'Institution Evaluation'!$A$55:$F$345,6,0),IFERROR(VLOOKUP($B243,'Privacy Analyst Evaluation'!$A$46:$F$120,6,0),""))&amp;""</f>
      </c>
      <c r="G243" s="209"/>
      <c r="H243" s="208" t="str">
        <f>IFERROR(IF($H242+1&gt;'(backend scoring)'!$Q$335,"",$H242+1),"")</f>
      </c>
      <c r="I243" s="208">
        <f>_xlfn.XLOOKUP($H243,'(backend scoring)'!$S$2:$S$333,'(backend scoring)'!$A$2:$A$333,"")</f>
      </c>
      <c r="J243" s="208">
        <f>IFERROR(VLOOKUP($I243,'Institution Evaluation'!$A$55:$F$345,2,0),IFERROR(VLOOKUP($I243,'Privacy Analyst Evaluation'!$A$46:$F$120,2,0),""))</f>
      </c>
      <c r="K243" s="208">
        <f>IFERROR(VLOOKUP($I243,'Institution Evaluation'!$A$55:$F$345,3,0),IFERROR(VLOOKUP($I243,'Privacy Analyst Evaluation'!$A$46:$F$120,3,0),""))&amp;""</f>
      </c>
      <c r="L243" s="208">
        <f>IFERROR(VLOOKUP($I243,'Institution Evaluation'!$A$55:$F$345,4,0),IFERROR(VLOOKUP($I243,'Privacy Analyst Evaluation'!$A$46:$F$120,4,0),""))&amp;""</f>
      </c>
      <c r="M243" s="208">
        <f>IFERROR(VLOOKUP($I243,'Institution Evaluation'!$A$55:$F$345,6,0),IFERROR(VLOOKUP($I243,'Privacy Analyst Evaluation'!$A$46:$F$120,6,0),""))&amp;""</f>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ht="17" x14ac:dyDescent="0.2">
      <c r="A244" s="208" t="str">
        <f>IFERROR(IF($A243+1&gt;'(backend scoring)'!$T$335,"",$A243+1),"")</f>
      </c>
      <c r="B244" s="208">
        <f>_xlfn.XLOOKUP($A244,'(backend scoring)'!$V$2:$V$333,'(backend scoring)'!$A$2:$A$333,"")</f>
      </c>
      <c r="C244" s="208">
        <f>IFERROR(VLOOKUP($B244,'Institution Evaluation'!$A$55:$F$345,2,0),IFERROR(VLOOKUP($B244,'Privacy Analyst Evaluation'!$A$46:$F$120,2,0),""))&amp;""</f>
      </c>
      <c r="D244" s="208">
        <f>IFERROR(VLOOKUP($B244,'Institution Evaluation'!$A$55:$F$345,3,0),IFERROR(VLOOKUP($B244,'Privacy Analyst Evaluation'!$A$46:$F$120,3,0),""))&amp;""</f>
      </c>
      <c r="E244" s="208">
        <f>IFERROR(VLOOKUP($B244,'Institution Evaluation'!$A$55:$F$345,4,0),IFERROR(VLOOKUP($B244,'Privacy Analyst Evaluation'!$A$46:$F$120,4,0),""))&amp;""</f>
      </c>
      <c r="F244" s="208">
        <f>IFERROR(VLOOKUP($B244,'Institution Evaluation'!$A$55:$F$345,6,0),IFERROR(VLOOKUP($B244,'Privacy Analyst Evaluation'!$A$46:$F$120,6,0),""))&amp;""</f>
      </c>
      <c r="G244" s="209"/>
      <c r="H244" s="208" t="str">
        <f>IFERROR(IF($H243+1&gt;'(backend scoring)'!$Q$335,"",$H243+1),"")</f>
      </c>
      <c r="I244" s="208">
        <f>_xlfn.XLOOKUP($H244,'(backend scoring)'!$S$2:$S$333,'(backend scoring)'!$A$2:$A$333,"")</f>
      </c>
      <c r="J244" s="208">
        <f>IFERROR(VLOOKUP($I244,'Institution Evaluation'!$A$55:$F$345,2,0),IFERROR(VLOOKUP($I244,'Privacy Analyst Evaluation'!$A$46:$F$120,2,0),""))</f>
      </c>
      <c r="K244" s="208">
        <f>IFERROR(VLOOKUP($I244,'Institution Evaluation'!$A$55:$F$345,3,0),IFERROR(VLOOKUP($I244,'Privacy Analyst Evaluation'!$A$46:$F$120,3,0),""))&amp;""</f>
      </c>
      <c r="L244" s="208">
        <f>IFERROR(VLOOKUP($I244,'Institution Evaluation'!$A$55:$F$345,4,0),IFERROR(VLOOKUP($I244,'Privacy Analyst Evaluation'!$A$46:$F$120,4,0),""))&amp;""</f>
      </c>
      <c r="M244" s="208">
        <f>IFERROR(VLOOKUP($I244,'Institution Evaluation'!$A$55:$F$345,6,0),IFERROR(VLOOKUP($I244,'Privacy Analyst Evaluation'!$A$46:$F$120,6,0),""))&amp;""</f>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ht="17" x14ac:dyDescent="0.2">
      <c r="A245" s="208" t="str">
        <f>IFERROR(IF($A244+1&gt;'(backend scoring)'!$T$335,"",$A244+1),"")</f>
      </c>
      <c r="B245" s="208">
        <f>_xlfn.XLOOKUP($A245,'(backend scoring)'!$V$2:$V$333,'(backend scoring)'!$A$2:$A$333,"")</f>
      </c>
      <c r="C245" s="208">
        <f>IFERROR(VLOOKUP($B245,'Institution Evaluation'!$A$55:$F$345,2,0),IFERROR(VLOOKUP($B245,'Privacy Analyst Evaluation'!$A$46:$F$120,2,0),""))&amp;""</f>
      </c>
      <c r="D245" s="208">
        <f>IFERROR(VLOOKUP($B245,'Institution Evaluation'!$A$55:$F$345,3,0),IFERROR(VLOOKUP($B245,'Privacy Analyst Evaluation'!$A$46:$F$120,3,0),""))&amp;""</f>
      </c>
      <c r="E245" s="208">
        <f>IFERROR(VLOOKUP($B245,'Institution Evaluation'!$A$55:$F$345,4,0),IFERROR(VLOOKUP($B245,'Privacy Analyst Evaluation'!$A$46:$F$120,4,0),""))&amp;""</f>
      </c>
      <c r="F245" s="208">
        <f>IFERROR(VLOOKUP($B245,'Institution Evaluation'!$A$55:$F$345,6,0),IFERROR(VLOOKUP($B245,'Privacy Analyst Evaluation'!$A$46:$F$120,6,0),""))&amp;""</f>
      </c>
      <c r="G245" s="209"/>
      <c r="H245" s="208" t="str">
        <f>IFERROR(IF($H244+1&gt;'(backend scoring)'!$Q$335,"",$H244+1),"")</f>
      </c>
      <c r="I245" s="208">
        <f>_xlfn.XLOOKUP($H245,'(backend scoring)'!$S$2:$S$333,'(backend scoring)'!$A$2:$A$333,"")</f>
      </c>
      <c r="J245" s="208">
        <f>IFERROR(VLOOKUP($I245,'Institution Evaluation'!$A$55:$F$345,2,0),IFERROR(VLOOKUP($I245,'Privacy Analyst Evaluation'!$A$46:$F$120,2,0),""))</f>
      </c>
      <c r="K245" s="208">
        <f>IFERROR(VLOOKUP($I245,'Institution Evaluation'!$A$55:$F$345,3,0),IFERROR(VLOOKUP($I245,'Privacy Analyst Evaluation'!$A$46:$F$120,3,0),""))&amp;""</f>
      </c>
      <c r="L245" s="208">
        <f>IFERROR(VLOOKUP($I245,'Institution Evaluation'!$A$55:$F$345,4,0),IFERROR(VLOOKUP($I245,'Privacy Analyst Evaluation'!$A$46:$F$120,4,0),""))&amp;""</f>
      </c>
      <c r="M245" s="208">
        <f>IFERROR(VLOOKUP($I245,'Institution Evaluation'!$A$55:$F$345,6,0),IFERROR(VLOOKUP($I245,'Privacy Analyst Evaluation'!$A$46:$F$120,6,0),""))&amp;""</f>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ht="17" x14ac:dyDescent="0.2">
      <c r="A246" s="208" t="str">
        <f>IFERROR(IF($A245+1&gt;'(backend scoring)'!$T$335,"",$A245+1),"")</f>
      </c>
      <c r="B246" s="208">
        <f>_xlfn.XLOOKUP($A246,'(backend scoring)'!$V$2:$V$333,'(backend scoring)'!$A$2:$A$333,"")</f>
      </c>
      <c r="C246" s="208">
        <f>IFERROR(VLOOKUP($B246,'Institution Evaluation'!$A$55:$F$345,2,0),IFERROR(VLOOKUP($B246,'Privacy Analyst Evaluation'!$A$46:$F$120,2,0),""))&amp;""</f>
      </c>
      <c r="D246" s="208">
        <f>IFERROR(VLOOKUP($B246,'Institution Evaluation'!$A$55:$F$345,3,0),IFERROR(VLOOKUP($B246,'Privacy Analyst Evaluation'!$A$46:$F$120,3,0),""))&amp;""</f>
      </c>
      <c r="E246" s="208">
        <f>IFERROR(VLOOKUP($B246,'Institution Evaluation'!$A$55:$F$345,4,0),IFERROR(VLOOKUP($B246,'Privacy Analyst Evaluation'!$A$46:$F$120,4,0),""))&amp;""</f>
      </c>
      <c r="F246" s="208">
        <f>IFERROR(VLOOKUP($B246,'Institution Evaluation'!$A$55:$F$345,6,0),IFERROR(VLOOKUP($B246,'Privacy Analyst Evaluation'!$A$46:$F$120,6,0),""))&amp;""</f>
      </c>
      <c r="G246" s="209"/>
      <c r="H246" s="208" t="str">
        <f>IFERROR(IF($H245+1&gt;'(backend scoring)'!$Q$335,"",$H245+1),"")</f>
      </c>
      <c r="I246" s="208">
        <f>_xlfn.XLOOKUP($H246,'(backend scoring)'!$S$2:$S$333,'(backend scoring)'!$A$2:$A$333,"")</f>
      </c>
      <c r="J246" s="208">
        <f>IFERROR(VLOOKUP($I246,'Institution Evaluation'!$A$55:$F$345,2,0),IFERROR(VLOOKUP($I246,'Privacy Analyst Evaluation'!$A$46:$F$120,2,0),""))</f>
      </c>
      <c r="K246" s="208">
        <f>IFERROR(VLOOKUP($I246,'Institution Evaluation'!$A$55:$F$345,3,0),IFERROR(VLOOKUP($I246,'Privacy Analyst Evaluation'!$A$46:$F$120,3,0),""))&amp;""</f>
      </c>
      <c r="L246" s="208">
        <f>IFERROR(VLOOKUP($I246,'Institution Evaluation'!$A$55:$F$345,4,0),IFERROR(VLOOKUP($I246,'Privacy Analyst Evaluation'!$A$46:$F$120,4,0),""))&amp;""</f>
      </c>
      <c r="M246" s="208">
        <f>IFERROR(VLOOKUP($I246,'Institution Evaluation'!$A$55:$F$345,6,0),IFERROR(VLOOKUP($I246,'Privacy Analyst Evaluation'!$A$46:$F$120,6,0),""))&amp;""</f>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ht="17" x14ac:dyDescent="0.2">
      <c r="A247" s="208" t="str">
        <f>IFERROR(IF($A246+1&gt;'(backend scoring)'!$T$335,"",$A246+1),"")</f>
      </c>
      <c r="B247" s="208">
        <f>_xlfn.XLOOKUP($A247,'(backend scoring)'!$V$2:$V$333,'(backend scoring)'!$A$2:$A$333,"")</f>
      </c>
      <c r="C247" s="208">
        <f>IFERROR(VLOOKUP($B247,'Institution Evaluation'!$A$55:$F$345,2,0),IFERROR(VLOOKUP($B247,'Privacy Analyst Evaluation'!$A$46:$F$120,2,0),""))&amp;""</f>
      </c>
      <c r="D247" s="208">
        <f>IFERROR(VLOOKUP($B247,'Institution Evaluation'!$A$55:$F$345,3,0),IFERROR(VLOOKUP($B247,'Privacy Analyst Evaluation'!$A$46:$F$120,3,0),""))&amp;""</f>
      </c>
      <c r="E247" s="208">
        <f>IFERROR(VLOOKUP($B247,'Institution Evaluation'!$A$55:$F$345,4,0),IFERROR(VLOOKUP($B247,'Privacy Analyst Evaluation'!$A$46:$F$120,4,0),""))&amp;""</f>
      </c>
      <c r="F247" s="208">
        <f>IFERROR(VLOOKUP($B247,'Institution Evaluation'!$A$55:$F$345,6,0),IFERROR(VLOOKUP($B247,'Privacy Analyst Evaluation'!$A$46:$F$120,6,0),""))&amp;""</f>
      </c>
      <c r="G247" s="209"/>
      <c r="H247" s="208" t="str">
        <f>IFERROR(IF($H246+1&gt;'(backend scoring)'!$Q$335,"",$H246+1),"")</f>
      </c>
      <c r="I247" s="208">
        <f>_xlfn.XLOOKUP($H247,'(backend scoring)'!$S$2:$S$333,'(backend scoring)'!$A$2:$A$333,"")</f>
      </c>
      <c r="J247" s="208">
        <f>IFERROR(VLOOKUP($I247,'Institution Evaluation'!$A$55:$F$345,2,0),IFERROR(VLOOKUP($I247,'Privacy Analyst Evaluation'!$A$46:$F$120,2,0),""))</f>
      </c>
      <c r="K247" s="208">
        <f>IFERROR(VLOOKUP($I247,'Institution Evaluation'!$A$55:$F$345,3,0),IFERROR(VLOOKUP($I247,'Privacy Analyst Evaluation'!$A$46:$F$120,3,0),""))&amp;""</f>
      </c>
      <c r="L247" s="208">
        <f>IFERROR(VLOOKUP($I247,'Institution Evaluation'!$A$55:$F$345,4,0),IFERROR(VLOOKUP($I247,'Privacy Analyst Evaluation'!$A$46:$F$120,4,0),""))&amp;""</f>
      </c>
      <c r="M247" s="208">
        <f>IFERROR(VLOOKUP($I247,'Institution Evaluation'!$A$55:$F$345,6,0),IFERROR(VLOOKUP($I247,'Privacy Analyst Evaluation'!$A$46:$F$120,6,0),""))&amp;""</f>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ht="17" x14ac:dyDescent="0.2">
      <c r="A248" s="208" t="str">
        <f>IFERROR(IF($A247+1&gt;'(backend scoring)'!$T$335,"",$A247+1),"")</f>
      </c>
      <c r="B248" s="208">
        <f>_xlfn.XLOOKUP($A248,'(backend scoring)'!$V$2:$V$333,'(backend scoring)'!$A$2:$A$333,"")</f>
      </c>
      <c r="C248" s="208">
        <f>IFERROR(VLOOKUP($B248,'Institution Evaluation'!$A$55:$F$345,2,0),IFERROR(VLOOKUP($B248,'Privacy Analyst Evaluation'!$A$46:$F$120,2,0),""))&amp;""</f>
      </c>
      <c r="D248" s="208">
        <f>IFERROR(VLOOKUP($B248,'Institution Evaluation'!$A$55:$F$345,3,0),IFERROR(VLOOKUP($B248,'Privacy Analyst Evaluation'!$A$46:$F$120,3,0),""))&amp;""</f>
      </c>
      <c r="E248" s="208">
        <f>IFERROR(VLOOKUP($B248,'Institution Evaluation'!$A$55:$F$345,4,0),IFERROR(VLOOKUP($B248,'Privacy Analyst Evaluation'!$A$46:$F$120,4,0),""))&amp;""</f>
      </c>
      <c r="F248" s="208">
        <f>IFERROR(VLOOKUP($B248,'Institution Evaluation'!$A$55:$F$345,6,0),IFERROR(VLOOKUP($B248,'Privacy Analyst Evaluation'!$A$46:$F$120,6,0),""))&amp;""</f>
      </c>
      <c r="G248" s="209"/>
      <c r="H248" s="208" t="str">
        <f>IFERROR(IF($H247+1&gt;'(backend scoring)'!$Q$335,"",$H247+1),"")</f>
      </c>
      <c r="I248" s="208">
        <f>_xlfn.XLOOKUP($H248,'(backend scoring)'!$S$2:$S$333,'(backend scoring)'!$A$2:$A$333,"")</f>
      </c>
      <c r="J248" s="208">
        <f>IFERROR(VLOOKUP($I248,'Institution Evaluation'!$A$55:$F$345,2,0),IFERROR(VLOOKUP($I248,'Privacy Analyst Evaluation'!$A$46:$F$120,2,0),""))</f>
      </c>
      <c r="K248" s="208">
        <f>IFERROR(VLOOKUP($I248,'Institution Evaluation'!$A$55:$F$345,3,0),IFERROR(VLOOKUP($I248,'Privacy Analyst Evaluation'!$A$46:$F$120,3,0),""))&amp;""</f>
      </c>
      <c r="L248" s="208">
        <f>IFERROR(VLOOKUP($I248,'Institution Evaluation'!$A$55:$F$345,4,0),IFERROR(VLOOKUP($I248,'Privacy Analyst Evaluation'!$A$46:$F$120,4,0),""))&amp;""</f>
      </c>
      <c r="M248" s="208">
        <f>IFERROR(VLOOKUP($I248,'Institution Evaluation'!$A$55:$F$345,6,0),IFERROR(VLOOKUP($I248,'Privacy Analyst Evaluation'!$A$46:$F$120,6,0),""))&amp;""</f>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ht="17" x14ac:dyDescent="0.2">
      <c r="A249" s="208" t="str">
        <f>IFERROR(IF($A248+1&gt;'(backend scoring)'!$T$335,"",$A248+1),"")</f>
      </c>
      <c r="B249" s="208">
        <f>_xlfn.XLOOKUP($A249,'(backend scoring)'!$V$2:$V$333,'(backend scoring)'!$A$2:$A$333,"")</f>
      </c>
      <c r="C249" s="208">
        <f>IFERROR(VLOOKUP($B249,'Institution Evaluation'!$A$55:$F$345,2,0),IFERROR(VLOOKUP($B249,'Privacy Analyst Evaluation'!$A$46:$F$120,2,0),""))&amp;""</f>
      </c>
      <c r="D249" s="208">
        <f>IFERROR(VLOOKUP($B249,'Institution Evaluation'!$A$55:$F$345,3,0),IFERROR(VLOOKUP($B249,'Privacy Analyst Evaluation'!$A$46:$F$120,3,0),""))&amp;""</f>
      </c>
      <c r="E249" s="208">
        <f>IFERROR(VLOOKUP($B249,'Institution Evaluation'!$A$55:$F$345,4,0),IFERROR(VLOOKUP($B249,'Privacy Analyst Evaluation'!$A$46:$F$120,4,0),""))&amp;""</f>
      </c>
      <c r="F249" s="208">
        <f>IFERROR(VLOOKUP($B249,'Institution Evaluation'!$A$55:$F$345,6,0),IFERROR(VLOOKUP($B249,'Privacy Analyst Evaluation'!$A$46:$F$120,6,0),""))&amp;""</f>
      </c>
      <c r="G249" s="209"/>
      <c r="H249" s="208" t="str">
        <f>IFERROR(IF($H248+1&gt;'(backend scoring)'!$Q$335,"",$H248+1),"")</f>
      </c>
      <c r="I249" s="208">
        <f>_xlfn.XLOOKUP($H249,'(backend scoring)'!$S$2:$S$333,'(backend scoring)'!$A$2:$A$333,"")</f>
      </c>
      <c r="J249" s="208">
        <f>IFERROR(VLOOKUP($I249,'Institution Evaluation'!$A$55:$F$345,2,0),IFERROR(VLOOKUP($I249,'Privacy Analyst Evaluation'!$A$46:$F$120,2,0),""))</f>
      </c>
      <c r="K249" s="208">
        <f>IFERROR(VLOOKUP($I249,'Institution Evaluation'!$A$55:$F$345,3,0),IFERROR(VLOOKUP($I249,'Privacy Analyst Evaluation'!$A$46:$F$120,3,0),""))&amp;""</f>
      </c>
      <c r="L249" s="208">
        <f>IFERROR(VLOOKUP($I249,'Institution Evaluation'!$A$55:$F$345,4,0),IFERROR(VLOOKUP($I249,'Privacy Analyst Evaluation'!$A$46:$F$120,4,0),""))&amp;""</f>
      </c>
      <c r="M249" s="208">
        <f>IFERROR(VLOOKUP($I249,'Institution Evaluation'!$A$55:$F$345,6,0),IFERROR(VLOOKUP($I249,'Privacy Analyst Evaluation'!$A$46:$F$120,6,0),""))&amp;""</f>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ht="17" x14ac:dyDescent="0.2">
      <c r="A250" s="208" t="str">
        <f>IFERROR(IF($A249+1&gt;'(backend scoring)'!$T$335,"",$A249+1),"")</f>
      </c>
      <c r="B250" s="208">
        <f>_xlfn.XLOOKUP($A250,'(backend scoring)'!$V$2:$V$333,'(backend scoring)'!$A$2:$A$333,"")</f>
      </c>
      <c r="C250" s="208">
        <f>IFERROR(VLOOKUP($B250,'Institution Evaluation'!$A$55:$F$345,2,0),IFERROR(VLOOKUP($B250,'Privacy Analyst Evaluation'!$A$46:$F$120,2,0),""))&amp;""</f>
      </c>
      <c r="D250" s="208">
        <f>IFERROR(VLOOKUP($B250,'Institution Evaluation'!$A$55:$F$345,3,0),IFERROR(VLOOKUP($B250,'Privacy Analyst Evaluation'!$A$46:$F$120,3,0),""))&amp;""</f>
      </c>
      <c r="E250" s="208">
        <f>IFERROR(VLOOKUP($B250,'Institution Evaluation'!$A$55:$F$345,4,0),IFERROR(VLOOKUP($B250,'Privacy Analyst Evaluation'!$A$46:$F$120,4,0),""))&amp;""</f>
      </c>
      <c r="F250" s="208">
        <f>IFERROR(VLOOKUP($B250,'Institution Evaluation'!$A$55:$F$345,6,0),IFERROR(VLOOKUP($B250,'Privacy Analyst Evaluation'!$A$46:$F$120,6,0),""))&amp;""</f>
      </c>
      <c r="G250" s="209"/>
      <c r="H250" s="208" t="str">
        <f>IFERROR(IF($H249+1&gt;'(backend scoring)'!$Q$335,"",$H249+1),"")</f>
      </c>
      <c r="I250" s="208">
        <f>_xlfn.XLOOKUP($H250,'(backend scoring)'!$S$2:$S$333,'(backend scoring)'!$A$2:$A$333,"")</f>
      </c>
      <c r="J250" s="208">
        <f>IFERROR(VLOOKUP($I250,'Institution Evaluation'!$A$55:$F$345,2,0),IFERROR(VLOOKUP($I250,'Privacy Analyst Evaluation'!$A$46:$F$120,2,0),""))</f>
      </c>
      <c r="K250" s="208">
        <f>IFERROR(VLOOKUP($I250,'Institution Evaluation'!$A$55:$F$345,3,0),IFERROR(VLOOKUP($I250,'Privacy Analyst Evaluation'!$A$46:$F$120,3,0),""))&amp;""</f>
      </c>
      <c r="L250" s="208">
        <f>IFERROR(VLOOKUP($I250,'Institution Evaluation'!$A$55:$F$345,4,0),IFERROR(VLOOKUP($I250,'Privacy Analyst Evaluation'!$A$46:$F$120,4,0),""))&amp;""</f>
      </c>
      <c r="M250" s="208">
        <f>IFERROR(VLOOKUP($I250,'Institution Evaluation'!$A$55:$F$345,6,0),IFERROR(VLOOKUP($I250,'Privacy Analyst Evaluation'!$A$46:$F$120,6,0),""))&amp;""</f>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ht="17" x14ac:dyDescent="0.2">
      <c r="A251" s="208" t="str">
        <f>IFERROR(IF($A250+1&gt;'(backend scoring)'!$T$335,"",$A250+1),"")</f>
      </c>
      <c r="B251" s="208">
        <f>_xlfn.XLOOKUP($A251,'(backend scoring)'!$V$2:$V$333,'(backend scoring)'!$A$2:$A$333,"")</f>
      </c>
      <c r="C251" s="208">
        <f>IFERROR(VLOOKUP($B251,'Institution Evaluation'!$A$55:$F$345,2,0),IFERROR(VLOOKUP($B251,'Privacy Analyst Evaluation'!$A$46:$F$120,2,0),""))&amp;""</f>
      </c>
      <c r="D251" s="208">
        <f>IFERROR(VLOOKUP($B251,'Institution Evaluation'!$A$55:$F$345,3,0),IFERROR(VLOOKUP($B251,'Privacy Analyst Evaluation'!$A$46:$F$120,3,0),""))&amp;""</f>
      </c>
      <c r="E251" s="208">
        <f>IFERROR(VLOOKUP($B251,'Institution Evaluation'!$A$55:$F$345,4,0),IFERROR(VLOOKUP($B251,'Privacy Analyst Evaluation'!$A$46:$F$120,4,0),""))&amp;""</f>
      </c>
      <c r="F251" s="208">
        <f>IFERROR(VLOOKUP($B251,'Institution Evaluation'!$A$55:$F$345,6,0),IFERROR(VLOOKUP($B251,'Privacy Analyst Evaluation'!$A$46:$F$120,6,0),""))&amp;""</f>
      </c>
      <c r="G251" s="209"/>
      <c r="H251" s="208" t="str">
        <f>IFERROR(IF($H250+1&gt;'(backend scoring)'!$Q$335,"",$H250+1),"")</f>
      </c>
      <c r="I251" s="208">
        <f>_xlfn.XLOOKUP($H251,'(backend scoring)'!$S$2:$S$333,'(backend scoring)'!$A$2:$A$333,"")</f>
      </c>
      <c r="J251" s="208">
        <f>IFERROR(VLOOKUP($I251,'Institution Evaluation'!$A$55:$F$345,2,0),IFERROR(VLOOKUP($I251,'Privacy Analyst Evaluation'!$A$46:$F$120,2,0),""))</f>
      </c>
      <c r="K251" s="208">
        <f>IFERROR(VLOOKUP($I251,'Institution Evaluation'!$A$55:$F$345,3,0),IFERROR(VLOOKUP($I251,'Privacy Analyst Evaluation'!$A$46:$F$120,3,0),""))&amp;""</f>
      </c>
      <c r="L251" s="208">
        <f>IFERROR(VLOOKUP($I251,'Institution Evaluation'!$A$55:$F$345,4,0),IFERROR(VLOOKUP($I251,'Privacy Analyst Evaluation'!$A$46:$F$120,4,0),""))&amp;""</f>
      </c>
      <c r="M251" s="208">
        <f>IFERROR(VLOOKUP($I251,'Institution Evaluation'!$A$55:$F$345,6,0),IFERROR(VLOOKUP($I251,'Privacy Analyst Evaluation'!$A$46:$F$120,6,0),""))&amp;""</f>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ht="17" x14ac:dyDescent="0.2">
      <c r="A252" s="208" t="str">
        <f>IFERROR(IF($A251+1&gt;'(backend scoring)'!$T$335,"",$A251+1),"")</f>
      </c>
      <c r="B252" s="208">
        <f>_xlfn.XLOOKUP($A252,'(backend scoring)'!$V$2:$V$333,'(backend scoring)'!$A$2:$A$333,"")</f>
      </c>
      <c r="C252" s="208">
        <f>IFERROR(VLOOKUP($B252,'Institution Evaluation'!$A$55:$F$345,2,0),IFERROR(VLOOKUP($B252,'Privacy Analyst Evaluation'!$A$46:$F$120,2,0),""))&amp;""</f>
      </c>
      <c r="D252" s="208">
        <f>IFERROR(VLOOKUP($B252,'Institution Evaluation'!$A$55:$F$345,3,0),IFERROR(VLOOKUP($B252,'Privacy Analyst Evaluation'!$A$46:$F$120,3,0),""))&amp;""</f>
      </c>
      <c r="E252" s="208">
        <f>IFERROR(VLOOKUP($B252,'Institution Evaluation'!$A$55:$F$345,4,0),IFERROR(VLOOKUP($B252,'Privacy Analyst Evaluation'!$A$46:$F$120,4,0),""))&amp;""</f>
      </c>
      <c r="F252" s="208">
        <f>IFERROR(VLOOKUP($B252,'Institution Evaluation'!$A$55:$F$345,6,0),IFERROR(VLOOKUP($B252,'Privacy Analyst Evaluation'!$A$46:$F$120,6,0),""))&amp;""</f>
      </c>
      <c r="G252" s="209"/>
      <c r="H252" s="208" t="str">
        <f>IFERROR(IF($H251+1&gt;'(backend scoring)'!$Q$335,"",$H251+1),"")</f>
      </c>
      <c r="I252" s="208">
        <f>_xlfn.XLOOKUP($H252,'(backend scoring)'!$S$2:$S$333,'(backend scoring)'!$A$2:$A$333,"")</f>
      </c>
      <c r="J252" s="208">
        <f>IFERROR(VLOOKUP($I252,'Institution Evaluation'!$A$55:$F$345,2,0),IFERROR(VLOOKUP($I252,'Privacy Analyst Evaluation'!$A$46:$F$120,2,0),""))</f>
      </c>
      <c r="K252" s="208">
        <f>IFERROR(VLOOKUP($I252,'Institution Evaluation'!$A$55:$F$345,3,0),IFERROR(VLOOKUP($I252,'Privacy Analyst Evaluation'!$A$46:$F$120,3,0),""))&amp;""</f>
      </c>
      <c r="L252" s="208">
        <f>IFERROR(VLOOKUP($I252,'Institution Evaluation'!$A$55:$F$345,4,0),IFERROR(VLOOKUP($I252,'Privacy Analyst Evaluation'!$A$46:$F$120,4,0),""))&amp;""</f>
      </c>
      <c r="M252" s="208">
        <f>IFERROR(VLOOKUP($I252,'Institution Evaluation'!$A$55:$F$345,6,0),IFERROR(VLOOKUP($I252,'Privacy Analyst Evaluation'!$A$46:$F$120,6,0),""))&amp;""</f>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ht="17" x14ac:dyDescent="0.2">
      <c r="A253" s="208" t="str">
        <f>IFERROR(IF($A252+1&gt;'(backend scoring)'!$T$335,"",$A252+1),"")</f>
      </c>
      <c r="B253" s="208">
        <f>_xlfn.XLOOKUP($A253,'(backend scoring)'!$V$2:$V$333,'(backend scoring)'!$A$2:$A$333,"")</f>
      </c>
      <c r="C253" s="208">
        <f>IFERROR(VLOOKUP($B253,'Institution Evaluation'!$A$55:$F$345,2,0),IFERROR(VLOOKUP($B253,'Privacy Analyst Evaluation'!$A$46:$F$120,2,0),""))&amp;""</f>
      </c>
      <c r="D253" s="208">
        <f>IFERROR(VLOOKUP($B253,'Institution Evaluation'!$A$55:$F$345,3,0),IFERROR(VLOOKUP($B253,'Privacy Analyst Evaluation'!$A$46:$F$120,3,0),""))&amp;""</f>
      </c>
      <c r="E253" s="208">
        <f>IFERROR(VLOOKUP($B253,'Institution Evaluation'!$A$55:$F$345,4,0),IFERROR(VLOOKUP($B253,'Privacy Analyst Evaluation'!$A$46:$F$120,4,0),""))&amp;""</f>
      </c>
      <c r="F253" s="208">
        <f>IFERROR(VLOOKUP($B253,'Institution Evaluation'!$A$55:$F$345,6,0),IFERROR(VLOOKUP($B253,'Privacy Analyst Evaluation'!$A$46:$F$120,6,0),""))&amp;""</f>
      </c>
      <c r="G253" s="209"/>
      <c r="H253" s="208" t="str">
        <f>IFERROR(IF($H252+1&gt;'(backend scoring)'!$Q$335,"",$H252+1),"")</f>
      </c>
      <c r="I253" s="208">
        <f>_xlfn.XLOOKUP($H253,'(backend scoring)'!$S$2:$S$333,'(backend scoring)'!$A$2:$A$333,"")</f>
      </c>
      <c r="J253" s="208">
        <f>IFERROR(VLOOKUP($I253,'Institution Evaluation'!$A$55:$F$345,2,0),IFERROR(VLOOKUP($I253,'Privacy Analyst Evaluation'!$A$46:$F$120,2,0),""))</f>
      </c>
      <c r="K253" s="208">
        <f>IFERROR(VLOOKUP($I253,'Institution Evaluation'!$A$55:$F$345,3,0),IFERROR(VLOOKUP($I253,'Privacy Analyst Evaluation'!$A$46:$F$120,3,0),""))&amp;""</f>
      </c>
      <c r="L253" s="208">
        <f>IFERROR(VLOOKUP($I253,'Institution Evaluation'!$A$55:$F$345,4,0),IFERROR(VLOOKUP($I253,'Privacy Analyst Evaluation'!$A$46:$F$120,4,0),""))&amp;""</f>
      </c>
      <c r="M253" s="208">
        <f>IFERROR(VLOOKUP($I253,'Institution Evaluation'!$A$55:$F$345,6,0),IFERROR(VLOOKUP($I253,'Privacy Analyst Evaluation'!$A$46:$F$120,6,0),""))&amp;""</f>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ht="17" x14ac:dyDescent="0.2">
      <c r="A254" s="208" t="str">
        <f>IFERROR(IF($A253+1&gt;'(backend scoring)'!$T$335,"",$A253+1),"")</f>
      </c>
      <c r="B254" s="208">
        <f>_xlfn.XLOOKUP($A254,'(backend scoring)'!$V$2:$V$333,'(backend scoring)'!$A$2:$A$333,"")</f>
      </c>
      <c r="C254" s="208">
        <f>IFERROR(VLOOKUP($B254,'Institution Evaluation'!$A$55:$F$345,2,0),IFERROR(VLOOKUP($B254,'Privacy Analyst Evaluation'!$A$46:$F$120,2,0),""))&amp;""</f>
      </c>
      <c r="D254" s="208">
        <f>IFERROR(VLOOKUP($B254,'Institution Evaluation'!$A$55:$F$345,3,0),IFERROR(VLOOKUP($B254,'Privacy Analyst Evaluation'!$A$46:$F$120,3,0),""))&amp;""</f>
      </c>
      <c r="E254" s="208">
        <f>IFERROR(VLOOKUP($B254,'Institution Evaluation'!$A$55:$F$345,4,0),IFERROR(VLOOKUP($B254,'Privacy Analyst Evaluation'!$A$46:$F$120,4,0),""))&amp;""</f>
      </c>
      <c r="F254" s="208">
        <f>IFERROR(VLOOKUP($B254,'Institution Evaluation'!$A$55:$F$345,6,0),IFERROR(VLOOKUP($B254,'Privacy Analyst Evaluation'!$A$46:$F$120,6,0),""))&amp;""</f>
      </c>
      <c r="G254" s="209"/>
      <c r="H254" s="208" t="str">
        <f>IFERROR(IF($H253+1&gt;'(backend scoring)'!$Q$335,"",$H253+1),"")</f>
      </c>
      <c r="I254" s="208">
        <f>_xlfn.XLOOKUP($H254,'(backend scoring)'!$S$2:$S$333,'(backend scoring)'!$A$2:$A$333,"")</f>
      </c>
      <c r="J254" s="208">
        <f>IFERROR(VLOOKUP($I254,'Institution Evaluation'!$A$55:$F$345,2,0),IFERROR(VLOOKUP($I254,'Privacy Analyst Evaluation'!$A$46:$F$120,2,0),""))</f>
      </c>
      <c r="K254" s="208">
        <f>IFERROR(VLOOKUP($I254,'Institution Evaluation'!$A$55:$F$345,3,0),IFERROR(VLOOKUP($I254,'Privacy Analyst Evaluation'!$A$46:$F$120,3,0),""))&amp;""</f>
      </c>
      <c r="L254" s="208">
        <f>IFERROR(VLOOKUP($I254,'Institution Evaluation'!$A$55:$F$345,4,0),IFERROR(VLOOKUP($I254,'Privacy Analyst Evaluation'!$A$46:$F$120,4,0),""))&amp;""</f>
      </c>
      <c r="M254" s="208">
        <f>IFERROR(VLOOKUP($I254,'Institution Evaluation'!$A$55:$F$345,6,0),IFERROR(VLOOKUP($I254,'Privacy Analyst Evaluation'!$A$46:$F$120,6,0),""))&amp;""</f>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ht="17" x14ac:dyDescent="0.2">
      <c r="A255" s="208" t="str">
        <f>IFERROR(IF($A254+1&gt;'(backend scoring)'!$T$335,"",$A254+1),"")</f>
      </c>
      <c r="B255" s="208">
        <f>_xlfn.XLOOKUP($A255,'(backend scoring)'!$V$2:$V$333,'(backend scoring)'!$A$2:$A$333,"")</f>
      </c>
      <c r="C255" s="208">
        <f>IFERROR(VLOOKUP($B255,'Institution Evaluation'!$A$55:$F$345,2,0),IFERROR(VLOOKUP($B255,'Privacy Analyst Evaluation'!$A$46:$F$120,2,0),""))&amp;""</f>
      </c>
      <c r="D255" s="208">
        <f>IFERROR(VLOOKUP($B255,'Institution Evaluation'!$A$55:$F$345,3,0),IFERROR(VLOOKUP($B255,'Privacy Analyst Evaluation'!$A$46:$F$120,3,0),""))&amp;""</f>
      </c>
      <c r="E255" s="208">
        <f>IFERROR(VLOOKUP($B255,'Institution Evaluation'!$A$55:$F$345,4,0),IFERROR(VLOOKUP($B255,'Privacy Analyst Evaluation'!$A$46:$F$120,4,0),""))&amp;""</f>
      </c>
      <c r="F255" s="208">
        <f>IFERROR(VLOOKUP($B255,'Institution Evaluation'!$A$55:$F$345,6,0),IFERROR(VLOOKUP($B255,'Privacy Analyst Evaluation'!$A$46:$F$120,6,0),""))&amp;""</f>
      </c>
      <c r="G255" s="209"/>
      <c r="H255" s="208" t="str">
        <f>IFERROR(IF($H254+1&gt;'(backend scoring)'!$Q$335,"",$H254+1),"")</f>
      </c>
      <c r="I255" s="208">
        <f>_xlfn.XLOOKUP($H255,'(backend scoring)'!$S$2:$S$333,'(backend scoring)'!$A$2:$A$333,"")</f>
      </c>
      <c r="J255" s="208">
        <f>IFERROR(VLOOKUP($I255,'Institution Evaluation'!$A$55:$F$345,2,0),IFERROR(VLOOKUP($I255,'Privacy Analyst Evaluation'!$A$46:$F$120,2,0),""))</f>
      </c>
      <c r="K255" s="208">
        <f>IFERROR(VLOOKUP($I255,'Institution Evaluation'!$A$55:$F$345,3,0),IFERROR(VLOOKUP($I255,'Privacy Analyst Evaluation'!$A$46:$F$120,3,0),""))&amp;""</f>
      </c>
      <c r="L255" s="208">
        <f>IFERROR(VLOOKUP($I255,'Institution Evaluation'!$A$55:$F$345,4,0),IFERROR(VLOOKUP($I255,'Privacy Analyst Evaluation'!$A$46:$F$120,4,0),""))&amp;""</f>
      </c>
      <c r="M255" s="208">
        <f>IFERROR(VLOOKUP($I255,'Institution Evaluation'!$A$55:$F$345,6,0),IFERROR(VLOOKUP($I255,'Privacy Analyst Evaluation'!$A$46:$F$120,6,0),""))&amp;""</f>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ht="17" x14ac:dyDescent="0.2">
      <c r="A256" s="208" t="str">
        <f>IFERROR(IF($A255+1&gt;'(backend scoring)'!$T$335,"",$A255+1),"")</f>
      </c>
      <c r="B256" s="208">
        <f>_xlfn.XLOOKUP($A256,'(backend scoring)'!$V$2:$V$333,'(backend scoring)'!$A$2:$A$333,"")</f>
      </c>
      <c r="C256" s="208">
        <f>IFERROR(VLOOKUP($B256,'Institution Evaluation'!$A$55:$F$345,2,0),IFERROR(VLOOKUP($B256,'Privacy Analyst Evaluation'!$A$46:$F$120,2,0),""))&amp;""</f>
      </c>
      <c r="D256" s="208">
        <f>IFERROR(VLOOKUP($B256,'Institution Evaluation'!$A$55:$F$345,3,0),IFERROR(VLOOKUP($B256,'Privacy Analyst Evaluation'!$A$46:$F$120,3,0),""))&amp;""</f>
      </c>
      <c r="E256" s="208">
        <f>IFERROR(VLOOKUP($B256,'Institution Evaluation'!$A$55:$F$345,4,0),IFERROR(VLOOKUP($B256,'Privacy Analyst Evaluation'!$A$46:$F$120,4,0),""))&amp;""</f>
      </c>
      <c r="F256" s="208">
        <f>IFERROR(VLOOKUP($B256,'Institution Evaluation'!$A$55:$F$345,6,0),IFERROR(VLOOKUP($B256,'Privacy Analyst Evaluation'!$A$46:$F$120,6,0),""))&amp;""</f>
      </c>
      <c r="G256" s="209"/>
      <c r="H256" s="208" t="str">
        <f>IFERROR(IF($H255+1&gt;'(backend scoring)'!$Q$335,"",$H255+1),"")</f>
      </c>
      <c r="I256" s="208">
        <f>_xlfn.XLOOKUP($H256,'(backend scoring)'!$S$2:$S$333,'(backend scoring)'!$A$2:$A$333,"")</f>
      </c>
      <c r="J256" s="208">
        <f>IFERROR(VLOOKUP($I256,'Institution Evaluation'!$A$55:$F$345,2,0),IFERROR(VLOOKUP($I256,'Privacy Analyst Evaluation'!$A$46:$F$120,2,0),""))</f>
      </c>
      <c r="K256" s="208">
        <f>IFERROR(VLOOKUP($I256,'Institution Evaluation'!$A$55:$F$345,3,0),IFERROR(VLOOKUP($I256,'Privacy Analyst Evaluation'!$A$46:$F$120,3,0),""))&amp;""</f>
      </c>
      <c r="L256" s="208">
        <f>IFERROR(VLOOKUP($I256,'Institution Evaluation'!$A$55:$F$345,4,0),IFERROR(VLOOKUP($I256,'Privacy Analyst Evaluation'!$A$46:$F$120,4,0),""))&amp;""</f>
      </c>
      <c r="M256" s="208">
        <f>IFERROR(VLOOKUP($I256,'Institution Evaluation'!$A$55:$F$345,6,0),IFERROR(VLOOKUP($I256,'Privacy Analyst Evaluation'!$A$46:$F$120,6,0),""))&amp;""</f>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ht="17" x14ac:dyDescent="0.2">
      <c r="A257" s="208" t="str">
        <f>IFERROR(IF($A256+1&gt;'(backend scoring)'!$T$335,"",$A256+1),"")</f>
      </c>
      <c r="B257" s="208">
        <f>_xlfn.XLOOKUP($A257,'(backend scoring)'!$V$2:$V$333,'(backend scoring)'!$A$2:$A$333,"")</f>
      </c>
      <c r="C257" s="208">
        <f>IFERROR(VLOOKUP($B257,'Institution Evaluation'!$A$55:$F$345,2,0),IFERROR(VLOOKUP($B257,'Privacy Analyst Evaluation'!$A$46:$F$120,2,0),""))&amp;""</f>
      </c>
      <c r="D257" s="208">
        <f>IFERROR(VLOOKUP($B257,'Institution Evaluation'!$A$55:$F$345,3,0),IFERROR(VLOOKUP($B257,'Privacy Analyst Evaluation'!$A$46:$F$120,3,0),""))&amp;""</f>
      </c>
      <c r="E257" s="208">
        <f>IFERROR(VLOOKUP($B257,'Institution Evaluation'!$A$55:$F$345,4,0),IFERROR(VLOOKUP($B257,'Privacy Analyst Evaluation'!$A$46:$F$120,4,0),""))&amp;""</f>
      </c>
      <c r="F257" s="208">
        <f>IFERROR(VLOOKUP($B257,'Institution Evaluation'!$A$55:$F$345,6,0),IFERROR(VLOOKUP($B257,'Privacy Analyst Evaluation'!$A$46:$F$120,6,0),""))&amp;""</f>
      </c>
      <c r="G257" s="209"/>
      <c r="H257" s="208" t="str">
        <f>IFERROR(IF($H256+1&gt;'(backend scoring)'!$Q$335,"",$H256+1),"")</f>
      </c>
      <c r="I257" s="208">
        <f>_xlfn.XLOOKUP($H257,'(backend scoring)'!$S$2:$S$333,'(backend scoring)'!$A$2:$A$333,"")</f>
      </c>
      <c r="J257" s="208">
        <f>IFERROR(VLOOKUP($I257,'Institution Evaluation'!$A$55:$F$345,2,0),IFERROR(VLOOKUP($I257,'Privacy Analyst Evaluation'!$A$46:$F$120,2,0),""))</f>
      </c>
      <c r="K257" s="208">
        <f>IFERROR(VLOOKUP($I257,'Institution Evaluation'!$A$55:$F$345,3,0),IFERROR(VLOOKUP($I257,'Privacy Analyst Evaluation'!$A$46:$F$120,3,0),""))&amp;""</f>
      </c>
      <c r="L257" s="208">
        <f>IFERROR(VLOOKUP($I257,'Institution Evaluation'!$A$55:$F$345,4,0),IFERROR(VLOOKUP($I257,'Privacy Analyst Evaluation'!$A$46:$F$120,4,0),""))&amp;""</f>
      </c>
      <c r="M257" s="208">
        <f>IFERROR(VLOOKUP($I257,'Institution Evaluation'!$A$55:$F$345,6,0),IFERROR(VLOOKUP($I257,'Privacy Analyst Evaluation'!$A$46:$F$120,6,0),""))&amp;""</f>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ht="17" x14ac:dyDescent="0.2">
      <c r="A258" s="208" t="str">
        <f>IFERROR(IF($A257+1&gt;'(backend scoring)'!$T$335,"",$A257+1),"")</f>
      </c>
      <c r="B258" s="208">
        <f>_xlfn.XLOOKUP($A258,'(backend scoring)'!$V$2:$V$333,'(backend scoring)'!$A$2:$A$333,"")</f>
      </c>
      <c r="C258" s="208">
        <f>IFERROR(VLOOKUP($B258,'Institution Evaluation'!$A$55:$F$345,2,0),IFERROR(VLOOKUP($B258,'Privacy Analyst Evaluation'!$A$46:$F$120,2,0),""))&amp;""</f>
      </c>
      <c r="D258" s="208">
        <f>IFERROR(VLOOKUP($B258,'Institution Evaluation'!$A$55:$F$345,3,0),IFERROR(VLOOKUP($B258,'Privacy Analyst Evaluation'!$A$46:$F$120,3,0),""))&amp;""</f>
      </c>
      <c r="E258" s="208">
        <f>IFERROR(VLOOKUP($B258,'Institution Evaluation'!$A$55:$F$345,4,0),IFERROR(VLOOKUP($B258,'Privacy Analyst Evaluation'!$A$46:$F$120,4,0),""))&amp;""</f>
      </c>
      <c r="F258" s="208">
        <f>IFERROR(VLOOKUP($B258,'Institution Evaluation'!$A$55:$F$345,6,0),IFERROR(VLOOKUP($B258,'Privacy Analyst Evaluation'!$A$46:$F$120,6,0),""))&amp;""</f>
      </c>
      <c r="G258" s="209"/>
      <c r="H258" s="208" t="str">
        <f>IFERROR(IF($H257+1&gt;'(backend scoring)'!$Q$335,"",$H257+1),"")</f>
      </c>
      <c r="I258" s="208">
        <f>_xlfn.XLOOKUP($H258,'(backend scoring)'!$S$2:$S$333,'(backend scoring)'!$A$2:$A$333,"")</f>
      </c>
      <c r="J258" s="208">
        <f>IFERROR(VLOOKUP($I258,'Institution Evaluation'!$A$55:$F$345,2,0),IFERROR(VLOOKUP($I258,'Privacy Analyst Evaluation'!$A$46:$F$120,2,0),""))</f>
      </c>
      <c r="K258" s="208">
        <f>IFERROR(VLOOKUP($I258,'Institution Evaluation'!$A$55:$F$345,3,0),IFERROR(VLOOKUP($I258,'Privacy Analyst Evaluation'!$A$46:$F$120,3,0),""))&amp;""</f>
      </c>
      <c r="L258" s="208">
        <f>IFERROR(VLOOKUP($I258,'Institution Evaluation'!$A$55:$F$345,4,0),IFERROR(VLOOKUP($I258,'Privacy Analyst Evaluation'!$A$46:$F$120,4,0),""))&amp;""</f>
      </c>
      <c r="M258" s="208">
        <f>IFERROR(VLOOKUP($I258,'Institution Evaluation'!$A$55:$F$345,6,0),IFERROR(VLOOKUP($I258,'Privacy Analyst Evaluation'!$A$46:$F$120,6,0),""))&amp;""</f>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ht="17" x14ac:dyDescent="0.2">
      <c r="A259" s="208" t="str">
        <f>IFERROR(IF($A258+1&gt;'(backend scoring)'!$T$335,"",$A258+1),"")</f>
      </c>
      <c r="B259" s="208">
        <f>_xlfn.XLOOKUP($A259,'(backend scoring)'!$V$2:$V$333,'(backend scoring)'!$A$2:$A$333,"")</f>
      </c>
      <c r="C259" s="208">
        <f>IFERROR(VLOOKUP($B259,'Institution Evaluation'!$A$55:$F$345,2,0),IFERROR(VLOOKUP($B259,'Privacy Analyst Evaluation'!$A$46:$F$120,2,0),""))&amp;""</f>
      </c>
      <c r="D259" s="208">
        <f>IFERROR(VLOOKUP($B259,'Institution Evaluation'!$A$55:$F$345,3,0),IFERROR(VLOOKUP($B259,'Privacy Analyst Evaluation'!$A$46:$F$120,3,0),""))&amp;""</f>
      </c>
      <c r="E259" s="208">
        <f>IFERROR(VLOOKUP($B259,'Institution Evaluation'!$A$55:$F$345,4,0),IFERROR(VLOOKUP($B259,'Privacy Analyst Evaluation'!$A$46:$F$120,4,0),""))&amp;""</f>
      </c>
      <c r="F259" s="208">
        <f>IFERROR(VLOOKUP($B259,'Institution Evaluation'!$A$55:$F$345,6,0),IFERROR(VLOOKUP($B259,'Privacy Analyst Evaluation'!$A$46:$F$120,6,0),""))&amp;""</f>
      </c>
      <c r="G259" s="209"/>
      <c r="H259" s="208" t="str">
        <f>IFERROR(IF($H258+1&gt;'(backend scoring)'!$Q$335,"",$H258+1),"")</f>
      </c>
      <c r="I259" s="208">
        <f>_xlfn.XLOOKUP($H259,'(backend scoring)'!$S$2:$S$333,'(backend scoring)'!$A$2:$A$333,"")</f>
      </c>
      <c r="J259" s="208">
        <f>IFERROR(VLOOKUP($I259,'Institution Evaluation'!$A$55:$F$345,2,0),IFERROR(VLOOKUP($I259,'Privacy Analyst Evaluation'!$A$46:$F$120,2,0),""))</f>
      </c>
      <c r="K259" s="208">
        <f>IFERROR(VLOOKUP($I259,'Institution Evaluation'!$A$55:$F$345,3,0),IFERROR(VLOOKUP($I259,'Privacy Analyst Evaluation'!$A$46:$F$120,3,0),""))&amp;""</f>
      </c>
      <c r="L259" s="208">
        <f>IFERROR(VLOOKUP($I259,'Institution Evaluation'!$A$55:$F$345,4,0),IFERROR(VLOOKUP($I259,'Privacy Analyst Evaluation'!$A$46:$F$120,4,0),""))&amp;""</f>
      </c>
      <c r="M259" s="208">
        <f>IFERROR(VLOOKUP($I259,'Institution Evaluation'!$A$55:$F$345,6,0),IFERROR(VLOOKUP($I259,'Privacy Analyst Evaluation'!$A$46:$F$120,6,0),""))&amp;""</f>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ht="17" x14ac:dyDescent="0.2">
      <c r="A260" s="208" t="str">
        <f>IFERROR(IF($A259+1&gt;'(backend scoring)'!$T$335,"",$A259+1),"")</f>
      </c>
      <c r="B260" s="208">
        <f>_xlfn.XLOOKUP($A260,'(backend scoring)'!$V$2:$V$333,'(backend scoring)'!$A$2:$A$333,"")</f>
      </c>
      <c r="C260" s="208">
        <f>IFERROR(VLOOKUP($B260,'Institution Evaluation'!$A$55:$F$345,2,0),IFERROR(VLOOKUP($B260,'Privacy Analyst Evaluation'!$A$46:$F$120,2,0),""))&amp;""</f>
      </c>
      <c r="D260" s="208">
        <f>IFERROR(VLOOKUP($B260,'Institution Evaluation'!$A$55:$F$345,3,0),IFERROR(VLOOKUP($B260,'Privacy Analyst Evaluation'!$A$46:$F$120,3,0),""))&amp;""</f>
      </c>
      <c r="E260" s="208">
        <f>IFERROR(VLOOKUP($B260,'Institution Evaluation'!$A$55:$F$345,4,0),IFERROR(VLOOKUP($B260,'Privacy Analyst Evaluation'!$A$46:$F$120,4,0),""))&amp;""</f>
      </c>
      <c r="F260" s="208">
        <f>IFERROR(VLOOKUP($B260,'Institution Evaluation'!$A$55:$F$345,6,0),IFERROR(VLOOKUP($B260,'Privacy Analyst Evaluation'!$A$46:$F$120,6,0),""))&amp;""</f>
      </c>
      <c r="G260" s="209"/>
      <c r="H260" s="208" t="str">
        <f>IFERROR(IF($H259+1&gt;'(backend scoring)'!$Q$335,"",$H259+1),"")</f>
      </c>
      <c r="I260" s="208">
        <f>_xlfn.XLOOKUP($H260,'(backend scoring)'!$S$2:$S$333,'(backend scoring)'!$A$2:$A$333,"")</f>
      </c>
      <c r="J260" s="208">
        <f>IFERROR(VLOOKUP($I260,'Institution Evaluation'!$A$55:$F$345,2,0),IFERROR(VLOOKUP($I260,'Privacy Analyst Evaluation'!$A$46:$F$120,2,0),""))</f>
      </c>
      <c r="K260" s="208">
        <f>IFERROR(VLOOKUP($I260,'Institution Evaluation'!$A$55:$F$345,3,0),IFERROR(VLOOKUP($I260,'Privacy Analyst Evaluation'!$A$46:$F$120,3,0),""))&amp;""</f>
      </c>
      <c r="L260" s="208">
        <f>IFERROR(VLOOKUP($I260,'Institution Evaluation'!$A$55:$F$345,4,0),IFERROR(VLOOKUP($I260,'Privacy Analyst Evaluation'!$A$46:$F$120,4,0),""))&amp;""</f>
      </c>
      <c r="M260" s="208">
        <f>IFERROR(VLOOKUP($I260,'Institution Evaluation'!$A$55:$F$345,6,0),IFERROR(VLOOKUP($I260,'Privacy Analyst Evaluation'!$A$46:$F$120,6,0),""))&amp;""</f>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ht="17" x14ac:dyDescent="0.2">
      <c r="A261" s="208" t="str">
        <f>IFERROR(IF($A260+1&gt;'(backend scoring)'!$T$335,"",$A260+1),"")</f>
      </c>
      <c r="B261" s="208">
        <f>_xlfn.XLOOKUP($A261,'(backend scoring)'!$V$2:$V$333,'(backend scoring)'!$A$2:$A$333,"")</f>
      </c>
      <c r="C261" s="208">
        <f>IFERROR(VLOOKUP($B261,'Institution Evaluation'!$A$55:$F$345,2,0),IFERROR(VLOOKUP($B261,'Privacy Analyst Evaluation'!$A$46:$F$120,2,0),""))&amp;""</f>
      </c>
      <c r="D261" s="208">
        <f>IFERROR(VLOOKUP($B261,'Institution Evaluation'!$A$55:$F$345,3,0),IFERROR(VLOOKUP($B261,'Privacy Analyst Evaluation'!$A$46:$F$120,3,0),""))&amp;""</f>
      </c>
      <c r="E261" s="208">
        <f>IFERROR(VLOOKUP($B261,'Institution Evaluation'!$A$55:$F$345,4,0),IFERROR(VLOOKUP($B261,'Privacy Analyst Evaluation'!$A$46:$F$120,4,0),""))&amp;""</f>
      </c>
      <c r="F261" s="208">
        <f>IFERROR(VLOOKUP($B261,'Institution Evaluation'!$A$55:$F$345,6,0),IFERROR(VLOOKUP($B261,'Privacy Analyst Evaluation'!$A$46:$F$120,6,0),""))&amp;""</f>
      </c>
      <c r="G261" s="209"/>
      <c r="H261" s="208" t="str">
        <f>IFERROR(IF($H260+1&gt;'(backend scoring)'!$Q$335,"",$H260+1),"")</f>
      </c>
      <c r="I261" s="208">
        <f>_xlfn.XLOOKUP($H261,'(backend scoring)'!$S$2:$S$333,'(backend scoring)'!$A$2:$A$333,"")</f>
      </c>
      <c r="J261" s="208">
        <f>IFERROR(VLOOKUP($I261,'Institution Evaluation'!$A$55:$F$345,2,0),IFERROR(VLOOKUP($I261,'Privacy Analyst Evaluation'!$A$46:$F$120,2,0),""))</f>
      </c>
      <c r="K261" s="208">
        <f>IFERROR(VLOOKUP($I261,'Institution Evaluation'!$A$55:$F$345,3,0),IFERROR(VLOOKUP($I261,'Privacy Analyst Evaluation'!$A$46:$F$120,3,0),""))&amp;""</f>
      </c>
      <c r="L261" s="208">
        <f>IFERROR(VLOOKUP($I261,'Institution Evaluation'!$A$55:$F$345,4,0),IFERROR(VLOOKUP($I261,'Privacy Analyst Evaluation'!$A$46:$F$120,4,0),""))&amp;""</f>
      </c>
      <c r="M261" s="208">
        <f>IFERROR(VLOOKUP($I261,'Institution Evaluation'!$A$55:$F$345,6,0),IFERROR(VLOOKUP($I261,'Privacy Analyst Evaluation'!$A$46:$F$120,6,0),""))&amp;""</f>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ht="17" x14ac:dyDescent="0.2">
      <c r="A262" s="208" t="str">
        <f>IFERROR(IF($A261+1&gt;'(backend scoring)'!$T$335,"",$A261+1),"")</f>
      </c>
      <c r="B262" s="208">
        <f>_xlfn.XLOOKUP($A262,'(backend scoring)'!$V$2:$V$333,'(backend scoring)'!$A$2:$A$333,"")</f>
      </c>
      <c r="C262" s="208">
        <f>IFERROR(VLOOKUP($B262,'Institution Evaluation'!$A$55:$F$345,2,0),IFERROR(VLOOKUP($B262,'Privacy Analyst Evaluation'!$A$46:$F$120,2,0),""))&amp;""</f>
      </c>
      <c r="D262" s="208">
        <f>IFERROR(VLOOKUP($B262,'Institution Evaluation'!$A$55:$F$345,3,0),IFERROR(VLOOKUP($B262,'Privacy Analyst Evaluation'!$A$46:$F$120,3,0),""))&amp;""</f>
      </c>
      <c r="E262" s="208">
        <f>IFERROR(VLOOKUP($B262,'Institution Evaluation'!$A$55:$F$345,4,0),IFERROR(VLOOKUP($B262,'Privacy Analyst Evaluation'!$A$46:$F$120,4,0),""))&amp;""</f>
      </c>
      <c r="F262" s="208">
        <f>IFERROR(VLOOKUP($B262,'Institution Evaluation'!$A$55:$F$345,6,0),IFERROR(VLOOKUP($B262,'Privacy Analyst Evaluation'!$A$46:$F$120,6,0),""))&amp;""</f>
      </c>
      <c r="G262" s="209"/>
      <c r="H262" s="208" t="str">
        <f>IFERROR(IF($H261+1&gt;'(backend scoring)'!$Q$335,"",$H261+1),"")</f>
      </c>
      <c r="I262" s="208">
        <f>_xlfn.XLOOKUP($H262,'(backend scoring)'!$S$2:$S$333,'(backend scoring)'!$A$2:$A$333,"")</f>
      </c>
      <c r="J262" s="208">
        <f>IFERROR(VLOOKUP($I262,'Institution Evaluation'!$A$55:$F$345,2,0),IFERROR(VLOOKUP($I262,'Privacy Analyst Evaluation'!$A$46:$F$120,2,0),""))</f>
      </c>
      <c r="K262" s="208">
        <f>IFERROR(VLOOKUP($I262,'Institution Evaluation'!$A$55:$F$345,3,0),IFERROR(VLOOKUP($I262,'Privacy Analyst Evaluation'!$A$46:$F$120,3,0),""))&amp;""</f>
      </c>
      <c r="L262" s="208">
        <f>IFERROR(VLOOKUP($I262,'Institution Evaluation'!$A$55:$F$345,4,0),IFERROR(VLOOKUP($I262,'Privacy Analyst Evaluation'!$A$46:$F$120,4,0),""))&amp;""</f>
      </c>
      <c r="M262" s="208">
        <f>IFERROR(VLOOKUP($I262,'Institution Evaluation'!$A$55:$F$345,6,0),IFERROR(VLOOKUP($I262,'Privacy Analyst Evaluation'!$A$46:$F$120,6,0),""))&amp;""</f>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ht="17" x14ac:dyDescent="0.2">
      <c r="A263" s="208" t="str">
        <f>IFERROR(IF($A262+1&gt;'(backend scoring)'!$T$335,"",$A262+1),"")</f>
      </c>
      <c r="B263" s="208">
        <f>_xlfn.XLOOKUP($A263,'(backend scoring)'!$V$2:$V$333,'(backend scoring)'!$A$2:$A$333,"")</f>
      </c>
      <c r="C263" s="208">
        <f>IFERROR(VLOOKUP($B263,'Institution Evaluation'!$A$55:$F$345,2,0),IFERROR(VLOOKUP($B263,'Privacy Analyst Evaluation'!$A$46:$F$120,2,0),""))&amp;""</f>
      </c>
      <c r="D263" s="208">
        <f>IFERROR(VLOOKUP($B263,'Institution Evaluation'!$A$55:$F$345,3,0),IFERROR(VLOOKUP($B263,'Privacy Analyst Evaluation'!$A$46:$F$120,3,0),""))&amp;""</f>
      </c>
      <c r="E263" s="208">
        <f>IFERROR(VLOOKUP($B263,'Institution Evaluation'!$A$55:$F$345,4,0),IFERROR(VLOOKUP($B263,'Privacy Analyst Evaluation'!$A$46:$F$120,4,0),""))&amp;""</f>
      </c>
      <c r="F263" s="208">
        <f>IFERROR(VLOOKUP($B263,'Institution Evaluation'!$A$55:$F$345,6,0),IFERROR(VLOOKUP($B263,'Privacy Analyst Evaluation'!$A$46:$F$120,6,0),""))&amp;""</f>
      </c>
      <c r="G263" s="209"/>
      <c r="H263" s="208" t="str">
        <f>IFERROR(IF($H262+1&gt;'(backend scoring)'!$Q$335,"",$H262+1),"")</f>
      </c>
      <c r="I263" s="208">
        <f>_xlfn.XLOOKUP($H263,'(backend scoring)'!$S$2:$S$333,'(backend scoring)'!$A$2:$A$333,"")</f>
      </c>
      <c r="J263" s="208">
        <f>IFERROR(VLOOKUP($I263,'Institution Evaluation'!$A$55:$F$345,2,0),IFERROR(VLOOKUP($I263,'Privacy Analyst Evaluation'!$A$46:$F$120,2,0),""))</f>
      </c>
      <c r="K263" s="208">
        <f>IFERROR(VLOOKUP($I263,'Institution Evaluation'!$A$55:$F$345,3,0),IFERROR(VLOOKUP($I263,'Privacy Analyst Evaluation'!$A$46:$F$120,3,0),""))&amp;""</f>
      </c>
      <c r="L263" s="208">
        <f>IFERROR(VLOOKUP($I263,'Institution Evaluation'!$A$55:$F$345,4,0),IFERROR(VLOOKUP($I263,'Privacy Analyst Evaluation'!$A$46:$F$120,4,0),""))&amp;""</f>
      </c>
      <c r="M263" s="208">
        <f>IFERROR(VLOOKUP($I263,'Institution Evaluation'!$A$55:$F$345,6,0),IFERROR(VLOOKUP($I263,'Privacy Analyst Evaluation'!$A$46:$F$120,6,0),""))&amp;""</f>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ht="17" x14ac:dyDescent="0.2">
      <c r="A264" s="208" t="str">
        <f>IFERROR(IF($A263+1&gt;'(backend scoring)'!$T$335,"",$A263+1),"")</f>
      </c>
      <c r="B264" s="208">
        <f>_xlfn.XLOOKUP($A264,'(backend scoring)'!$V$2:$V$333,'(backend scoring)'!$A$2:$A$333,"")</f>
      </c>
      <c r="C264" s="208">
        <f>IFERROR(VLOOKUP($B264,'Institution Evaluation'!$A$55:$F$345,2,0),IFERROR(VLOOKUP($B264,'Privacy Analyst Evaluation'!$A$46:$F$120,2,0),""))&amp;""</f>
      </c>
      <c r="D264" s="208">
        <f>IFERROR(VLOOKUP($B264,'Institution Evaluation'!$A$55:$F$345,3,0),IFERROR(VLOOKUP($B264,'Privacy Analyst Evaluation'!$A$46:$F$120,3,0),""))&amp;""</f>
      </c>
      <c r="E264" s="208">
        <f>IFERROR(VLOOKUP($B264,'Institution Evaluation'!$A$55:$F$345,4,0),IFERROR(VLOOKUP($B264,'Privacy Analyst Evaluation'!$A$46:$F$120,4,0),""))&amp;""</f>
      </c>
      <c r="F264" s="208">
        <f>IFERROR(VLOOKUP($B264,'Institution Evaluation'!$A$55:$F$345,6,0),IFERROR(VLOOKUP($B264,'Privacy Analyst Evaluation'!$A$46:$F$120,6,0),""))&amp;""</f>
      </c>
      <c r="G264" s="209"/>
      <c r="H264" s="208" t="str">
        <f>IFERROR(IF($H263+1&gt;'(backend scoring)'!$Q$335,"",$H263+1),"")</f>
      </c>
      <c r="I264" s="208">
        <f>_xlfn.XLOOKUP($H264,'(backend scoring)'!$S$2:$S$333,'(backend scoring)'!$A$2:$A$333,"")</f>
      </c>
      <c r="J264" s="208">
        <f>IFERROR(VLOOKUP($I264,'Institution Evaluation'!$A$55:$F$345,2,0),IFERROR(VLOOKUP($I264,'Privacy Analyst Evaluation'!$A$46:$F$120,2,0),""))</f>
      </c>
      <c r="K264" s="208">
        <f>IFERROR(VLOOKUP($I264,'Institution Evaluation'!$A$55:$F$345,3,0),IFERROR(VLOOKUP($I264,'Privacy Analyst Evaluation'!$A$46:$F$120,3,0),""))&amp;""</f>
      </c>
      <c r="L264" s="208">
        <f>IFERROR(VLOOKUP($I264,'Institution Evaluation'!$A$55:$F$345,4,0),IFERROR(VLOOKUP($I264,'Privacy Analyst Evaluation'!$A$46:$F$120,4,0),""))&amp;""</f>
      </c>
      <c r="M264" s="208">
        <f>IFERROR(VLOOKUP($I264,'Institution Evaluation'!$A$55:$F$345,6,0),IFERROR(VLOOKUP($I264,'Privacy Analyst Evaluation'!$A$46:$F$120,6,0),""))&amp;""</f>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ht="17" x14ac:dyDescent="0.2">
      <c r="A265" s="208" t="str">
        <f>IFERROR(IF($A264+1&gt;'(backend scoring)'!$T$335,"",$A264+1),"")</f>
      </c>
      <c r="B265" s="208">
        <f>_xlfn.XLOOKUP($A265,'(backend scoring)'!$V$2:$V$333,'(backend scoring)'!$A$2:$A$333,"")</f>
      </c>
      <c r="C265" s="208">
        <f>IFERROR(VLOOKUP($B265,'Institution Evaluation'!$A$55:$F$345,2,0),IFERROR(VLOOKUP($B265,'Privacy Analyst Evaluation'!$A$46:$F$120,2,0),""))&amp;""</f>
      </c>
      <c r="D265" s="208">
        <f>IFERROR(VLOOKUP($B265,'Institution Evaluation'!$A$55:$F$345,3,0),IFERROR(VLOOKUP($B265,'Privacy Analyst Evaluation'!$A$46:$F$120,3,0),""))&amp;""</f>
      </c>
      <c r="E265" s="208">
        <f>IFERROR(VLOOKUP($B265,'Institution Evaluation'!$A$55:$F$345,4,0),IFERROR(VLOOKUP($B265,'Privacy Analyst Evaluation'!$A$46:$F$120,4,0),""))&amp;""</f>
      </c>
      <c r="F265" s="208">
        <f>IFERROR(VLOOKUP($B265,'Institution Evaluation'!$A$55:$F$345,6,0),IFERROR(VLOOKUP($B265,'Privacy Analyst Evaluation'!$A$46:$F$120,6,0),""))&amp;""</f>
      </c>
      <c r="G265" s="209"/>
      <c r="H265" s="208" t="str">
        <f>IFERROR(IF($H264+1&gt;'(backend scoring)'!$Q$335,"",$H264+1),"")</f>
      </c>
      <c r="I265" s="208">
        <f>_xlfn.XLOOKUP($H265,'(backend scoring)'!$S$2:$S$333,'(backend scoring)'!$A$2:$A$333,"")</f>
      </c>
      <c r="J265" s="208">
        <f>IFERROR(VLOOKUP($I265,'Institution Evaluation'!$A$55:$F$345,2,0),IFERROR(VLOOKUP($I265,'Privacy Analyst Evaluation'!$A$46:$F$120,2,0),""))</f>
      </c>
      <c r="K265" s="208">
        <f>IFERROR(VLOOKUP($I265,'Institution Evaluation'!$A$55:$F$345,3,0),IFERROR(VLOOKUP($I265,'Privacy Analyst Evaluation'!$A$46:$F$120,3,0),""))&amp;""</f>
      </c>
      <c r="L265" s="208">
        <f>IFERROR(VLOOKUP($I265,'Institution Evaluation'!$A$55:$F$345,4,0),IFERROR(VLOOKUP($I265,'Privacy Analyst Evaluation'!$A$46:$F$120,4,0),""))&amp;""</f>
      </c>
      <c r="M265" s="208">
        <f>IFERROR(VLOOKUP($I265,'Institution Evaluation'!$A$55:$F$345,6,0),IFERROR(VLOOKUP($I265,'Privacy Analyst Evaluation'!$A$46:$F$120,6,0),""))&amp;""</f>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ht="17" x14ac:dyDescent="0.2">
      <c r="A266" s="208" t="str">
        <f>IFERROR(IF($A265+1&gt;'(backend scoring)'!$T$335,"",$A265+1),"")</f>
      </c>
      <c r="B266" s="208">
        <f>_xlfn.XLOOKUP($A266,'(backend scoring)'!$V$2:$V$333,'(backend scoring)'!$A$2:$A$333,"")</f>
      </c>
      <c r="C266" s="208">
        <f>IFERROR(VLOOKUP($B266,'Institution Evaluation'!$A$55:$F$345,2,0),IFERROR(VLOOKUP($B266,'Privacy Analyst Evaluation'!$A$46:$F$120,2,0),""))&amp;""</f>
      </c>
      <c r="D266" s="208">
        <f>IFERROR(VLOOKUP($B266,'Institution Evaluation'!$A$55:$F$345,3,0),IFERROR(VLOOKUP($B266,'Privacy Analyst Evaluation'!$A$46:$F$120,3,0),""))&amp;""</f>
      </c>
      <c r="E266" s="208">
        <f>IFERROR(VLOOKUP($B266,'Institution Evaluation'!$A$55:$F$345,4,0),IFERROR(VLOOKUP($B266,'Privacy Analyst Evaluation'!$A$46:$F$120,4,0),""))&amp;""</f>
      </c>
      <c r="F266" s="208">
        <f>IFERROR(VLOOKUP($B266,'Institution Evaluation'!$A$55:$F$345,6,0),IFERROR(VLOOKUP($B266,'Privacy Analyst Evaluation'!$A$46:$F$120,6,0),""))&amp;""</f>
      </c>
      <c r="G266" s="209"/>
      <c r="H266" s="208" t="str">
        <f>IFERROR(IF($H265+1&gt;'(backend scoring)'!$Q$335,"",$H265+1),"")</f>
      </c>
      <c r="I266" s="208">
        <f>_xlfn.XLOOKUP($H266,'(backend scoring)'!$S$2:$S$333,'(backend scoring)'!$A$2:$A$333,"")</f>
      </c>
      <c r="J266" s="208">
        <f>IFERROR(VLOOKUP($I266,'Institution Evaluation'!$A$55:$F$345,2,0),IFERROR(VLOOKUP($I266,'Privacy Analyst Evaluation'!$A$46:$F$120,2,0),""))</f>
      </c>
      <c r="K266" s="208">
        <f>IFERROR(VLOOKUP($I266,'Institution Evaluation'!$A$55:$F$345,3,0),IFERROR(VLOOKUP($I266,'Privacy Analyst Evaluation'!$A$46:$F$120,3,0),""))&amp;""</f>
      </c>
      <c r="L266" s="208">
        <f>IFERROR(VLOOKUP($I266,'Institution Evaluation'!$A$55:$F$345,4,0),IFERROR(VLOOKUP($I266,'Privacy Analyst Evaluation'!$A$46:$F$120,4,0),""))&amp;""</f>
      </c>
      <c r="M266" s="208">
        <f>IFERROR(VLOOKUP($I266,'Institution Evaluation'!$A$55:$F$345,6,0),IFERROR(VLOOKUP($I266,'Privacy Analyst Evaluation'!$A$46:$F$120,6,0),""))&amp;""</f>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ht="17" x14ac:dyDescent="0.2">
      <c r="A267" s="208" t="str">
        <f>IFERROR(IF($A266+1&gt;'(backend scoring)'!$T$335,"",$A266+1),"")</f>
      </c>
      <c r="B267" s="208">
        <f>_xlfn.XLOOKUP($A267,'(backend scoring)'!$V$2:$V$333,'(backend scoring)'!$A$2:$A$333,"")</f>
      </c>
      <c r="C267" s="208">
        <f>IFERROR(VLOOKUP($B267,'Institution Evaluation'!$A$55:$F$345,2,0),IFERROR(VLOOKUP($B267,'Privacy Analyst Evaluation'!$A$46:$F$120,2,0),""))&amp;""</f>
      </c>
      <c r="D267" s="208">
        <f>IFERROR(VLOOKUP($B267,'Institution Evaluation'!$A$55:$F$345,3,0),IFERROR(VLOOKUP($B267,'Privacy Analyst Evaluation'!$A$46:$F$120,3,0),""))&amp;""</f>
      </c>
      <c r="E267" s="208">
        <f>IFERROR(VLOOKUP($B267,'Institution Evaluation'!$A$55:$F$345,4,0),IFERROR(VLOOKUP($B267,'Privacy Analyst Evaluation'!$A$46:$F$120,4,0),""))&amp;""</f>
      </c>
      <c r="F267" s="208">
        <f>IFERROR(VLOOKUP($B267,'Institution Evaluation'!$A$55:$F$345,6,0),IFERROR(VLOOKUP($B267,'Privacy Analyst Evaluation'!$A$46:$F$120,6,0),""))&amp;""</f>
      </c>
      <c r="G267" s="209"/>
      <c r="H267" s="208" t="str">
        <f>IFERROR(IF($H266+1&gt;'(backend scoring)'!$Q$335,"",$H266+1),"")</f>
      </c>
      <c r="I267" s="208">
        <f>_xlfn.XLOOKUP($H267,'(backend scoring)'!$S$2:$S$333,'(backend scoring)'!$A$2:$A$333,"")</f>
      </c>
      <c r="J267" s="208">
        <f>IFERROR(VLOOKUP($I267,'Institution Evaluation'!$A$55:$F$345,2,0),IFERROR(VLOOKUP($I267,'Privacy Analyst Evaluation'!$A$46:$F$120,2,0),""))</f>
      </c>
      <c r="K267" s="208">
        <f>IFERROR(VLOOKUP($I267,'Institution Evaluation'!$A$55:$F$345,3,0),IFERROR(VLOOKUP($I267,'Privacy Analyst Evaluation'!$A$46:$F$120,3,0),""))&amp;""</f>
      </c>
      <c r="L267" s="208">
        <f>IFERROR(VLOOKUP($I267,'Institution Evaluation'!$A$55:$F$345,4,0),IFERROR(VLOOKUP($I267,'Privacy Analyst Evaluation'!$A$46:$F$120,4,0),""))&amp;""</f>
      </c>
      <c r="M267" s="208">
        <f>IFERROR(VLOOKUP($I267,'Institution Evaluation'!$A$55:$F$345,6,0),IFERROR(VLOOKUP($I267,'Privacy Analyst Evaluation'!$A$46:$F$120,6,0),""))&amp;""</f>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ht="17" x14ac:dyDescent="0.2">
      <c r="A268" s="208" t="str">
        <f>IFERROR(IF($A267+1&gt;'(backend scoring)'!$T$335,"",$A267+1),"")</f>
      </c>
      <c r="B268" s="208">
        <f>_xlfn.XLOOKUP($A268,'(backend scoring)'!$V$2:$V$333,'(backend scoring)'!$A$2:$A$333,"")</f>
      </c>
      <c r="C268" s="208">
        <f>IFERROR(VLOOKUP($B268,'Institution Evaluation'!$A$55:$F$345,2,0),IFERROR(VLOOKUP($B268,'Privacy Analyst Evaluation'!$A$46:$F$120,2,0),""))&amp;""</f>
      </c>
      <c r="D268" s="208">
        <f>IFERROR(VLOOKUP($B268,'Institution Evaluation'!$A$55:$F$345,3,0),IFERROR(VLOOKUP($B268,'Privacy Analyst Evaluation'!$A$46:$F$120,3,0),""))&amp;""</f>
      </c>
      <c r="E268" s="208">
        <f>IFERROR(VLOOKUP($B268,'Institution Evaluation'!$A$55:$F$345,4,0),IFERROR(VLOOKUP($B268,'Privacy Analyst Evaluation'!$A$46:$F$120,4,0),""))&amp;""</f>
      </c>
      <c r="F268" s="208">
        <f>IFERROR(VLOOKUP($B268,'Institution Evaluation'!$A$55:$F$345,6,0),IFERROR(VLOOKUP($B268,'Privacy Analyst Evaluation'!$A$46:$F$120,6,0),""))&amp;""</f>
      </c>
      <c r="G268" s="209"/>
      <c r="H268" s="208" t="str">
        <f>IFERROR(IF($H267+1&gt;'(backend scoring)'!$Q$335,"",$H267+1),"")</f>
      </c>
      <c r="I268" s="208">
        <f>_xlfn.XLOOKUP($H268,'(backend scoring)'!$S$2:$S$333,'(backend scoring)'!$A$2:$A$333,"")</f>
      </c>
      <c r="J268" s="208">
        <f>IFERROR(VLOOKUP($I268,'Institution Evaluation'!$A$55:$F$345,2,0),IFERROR(VLOOKUP($I268,'Privacy Analyst Evaluation'!$A$46:$F$120,2,0),""))</f>
      </c>
      <c r="K268" s="208">
        <f>IFERROR(VLOOKUP($I268,'Institution Evaluation'!$A$55:$F$345,3,0),IFERROR(VLOOKUP($I268,'Privacy Analyst Evaluation'!$A$46:$F$120,3,0),""))&amp;""</f>
      </c>
      <c r="L268" s="208">
        <f>IFERROR(VLOOKUP($I268,'Institution Evaluation'!$A$55:$F$345,4,0),IFERROR(VLOOKUP($I268,'Privacy Analyst Evaluation'!$A$46:$F$120,4,0),""))&amp;""</f>
      </c>
      <c r="M268" s="208">
        <f>IFERROR(VLOOKUP($I268,'Institution Evaluation'!$A$55:$F$345,6,0),IFERROR(VLOOKUP($I268,'Privacy Analyst Evaluation'!$A$46:$F$120,6,0),""))&amp;""</f>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ht="17" x14ac:dyDescent="0.2">
      <c r="A269" s="208" t="str">
        <f>IFERROR(IF($A268+1&gt;'(backend scoring)'!$T$335,"",$A268+1),"")</f>
      </c>
      <c r="B269" s="208">
        <f>_xlfn.XLOOKUP($A269,'(backend scoring)'!$V$2:$V$333,'(backend scoring)'!$A$2:$A$333,"")</f>
      </c>
      <c r="C269" s="208">
        <f>IFERROR(VLOOKUP($B269,'Institution Evaluation'!$A$55:$F$345,2,0),IFERROR(VLOOKUP($B269,'Privacy Analyst Evaluation'!$A$46:$F$120,2,0),""))&amp;""</f>
      </c>
      <c r="D269" s="208">
        <f>IFERROR(VLOOKUP($B269,'Institution Evaluation'!$A$55:$F$345,3,0),IFERROR(VLOOKUP($B269,'Privacy Analyst Evaluation'!$A$46:$F$120,3,0),""))&amp;""</f>
      </c>
      <c r="E269" s="208">
        <f>IFERROR(VLOOKUP($B269,'Institution Evaluation'!$A$55:$F$345,4,0),IFERROR(VLOOKUP($B269,'Privacy Analyst Evaluation'!$A$46:$F$120,4,0),""))&amp;""</f>
      </c>
      <c r="F269" s="208">
        <f>IFERROR(VLOOKUP($B269,'Institution Evaluation'!$A$55:$F$345,6,0),IFERROR(VLOOKUP($B269,'Privacy Analyst Evaluation'!$A$46:$F$120,6,0),""))&amp;""</f>
      </c>
      <c r="G269" s="209"/>
      <c r="H269" s="208" t="str">
        <f>IFERROR(IF($H268+1&gt;'(backend scoring)'!$Q$335,"",$H268+1),"")</f>
      </c>
      <c r="I269" s="208">
        <f>_xlfn.XLOOKUP($H269,'(backend scoring)'!$S$2:$S$333,'(backend scoring)'!$A$2:$A$333,"")</f>
      </c>
      <c r="J269" s="208">
        <f>IFERROR(VLOOKUP($I269,'Institution Evaluation'!$A$55:$F$345,2,0),IFERROR(VLOOKUP($I269,'Privacy Analyst Evaluation'!$A$46:$F$120,2,0),""))</f>
      </c>
      <c r="K269" s="208">
        <f>IFERROR(VLOOKUP($I269,'Institution Evaluation'!$A$55:$F$345,3,0),IFERROR(VLOOKUP($I269,'Privacy Analyst Evaluation'!$A$46:$F$120,3,0),""))&amp;""</f>
      </c>
      <c r="L269" s="208">
        <f>IFERROR(VLOOKUP($I269,'Institution Evaluation'!$A$55:$F$345,4,0),IFERROR(VLOOKUP($I269,'Privacy Analyst Evaluation'!$A$46:$F$120,4,0),""))&amp;""</f>
      </c>
      <c r="M269" s="208">
        <f>IFERROR(VLOOKUP($I269,'Institution Evaluation'!$A$55:$F$345,6,0),IFERROR(VLOOKUP($I269,'Privacy Analyst Evaluation'!$A$46:$F$120,6,0),""))&amp;""</f>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ht="17" x14ac:dyDescent="0.2">
      <c r="A270" s="208" t="str">
        <f>IFERROR(IF($A269+1&gt;'(backend scoring)'!$T$335,"",$A269+1),"")</f>
      </c>
      <c r="B270" s="208">
        <f>_xlfn.XLOOKUP($A270,'(backend scoring)'!$V$2:$V$333,'(backend scoring)'!$A$2:$A$333,"")</f>
      </c>
      <c r="C270" s="208">
        <f>IFERROR(VLOOKUP($B270,'Institution Evaluation'!$A$55:$F$345,2,0),IFERROR(VLOOKUP($B270,'Privacy Analyst Evaluation'!$A$46:$F$120,2,0),""))&amp;""</f>
      </c>
      <c r="D270" s="208">
        <f>IFERROR(VLOOKUP($B270,'Institution Evaluation'!$A$55:$F$345,3,0),IFERROR(VLOOKUP($B270,'Privacy Analyst Evaluation'!$A$46:$F$120,3,0),""))&amp;""</f>
      </c>
      <c r="E270" s="208">
        <f>IFERROR(VLOOKUP($B270,'Institution Evaluation'!$A$55:$F$345,4,0),IFERROR(VLOOKUP($B270,'Privacy Analyst Evaluation'!$A$46:$F$120,4,0),""))&amp;""</f>
      </c>
      <c r="F270" s="208">
        <f>IFERROR(VLOOKUP($B270,'Institution Evaluation'!$A$55:$F$345,6,0),IFERROR(VLOOKUP($B270,'Privacy Analyst Evaluation'!$A$46:$F$120,6,0),""))&amp;""</f>
      </c>
      <c r="G270" s="209"/>
      <c r="H270" s="208" t="str">
        <f>IFERROR(IF($H269+1&gt;'(backend scoring)'!$Q$335,"",$H269+1),"")</f>
      </c>
      <c r="I270" s="208">
        <f>_xlfn.XLOOKUP($H270,'(backend scoring)'!$S$2:$S$333,'(backend scoring)'!$A$2:$A$333,"")</f>
      </c>
      <c r="J270" s="208">
        <f>IFERROR(VLOOKUP($I270,'Institution Evaluation'!$A$55:$F$345,2,0),IFERROR(VLOOKUP($I270,'Privacy Analyst Evaluation'!$A$46:$F$120,2,0),""))</f>
      </c>
      <c r="K270" s="208">
        <f>IFERROR(VLOOKUP($I270,'Institution Evaluation'!$A$55:$F$345,3,0),IFERROR(VLOOKUP($I270,'Privacy Analyst Evaluation'!$A$46:$F$120,3,0),""))&amp;""</f>
      </c>
      <c r="L270" s="208">
        <f>IFERROR(VLOOKUP($I270,'Institution Evaluation'!$A$55:$F$345,4,0),IFERROR(VLOOKUP($I270,'Privacy Analyst Evaluation'!$A$46:$F$120,4,0),""))&amp;""</f>
      </c>
      <c r="M270" s="208">
        <f>IFERROR(VLOOKUP($I270,'Institution Evaluation'!$A$55:$F$345,6,0),IFERROR(VLOOKUP($I270,'Privacy Analyst Evaluation'!$A$46:$F$120,6,0),""))&amp;""</f>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ht="17" x14ac:dyDescent="0.2">
      <c r="A271" s="208" t="str">
        <f>IFERROR(IF($A270+1&gt;'(backend scoring)'!$T$335,"",$A270+1),"")</f>
      </c>
      <c r="B271" s="208">
        <f>_xlfn.XLOOKUP($A271,'(backend scoring)'!$V$2:$V$333,'(backend scoring)'!$A$2:$A$333,"")</f>
      </c>
      <c r="C271" s="208">
        <f>IFERROR(VLOOKUP($B271,'Institution Evaluation'!$A$55:$F$345,2,0),IFERROR(VLOOKUP($B271,'Privacy Analyst Evaluation'!$A$46:$F$120,2,0),""))&amp;""</f>
      </c>
      <c r="D271" s="208">
        <f>IFERROR(VLOOKUP($B271,'Institution Evaluation'!$A$55:$F$345,3,0),IFERROR(VLOOKUP($B271,'Privacy Analyst Evaluation'!$A$46:$F$120,3,0),""))&amp;""</f>
      </c>
      <c r="E271" s="208">
        <f>IFERROR(VLOOKUP($B271,'Institution Evaluation'!$A$55:$F$345,4,0),IFERROR(VLOOKUP($B271,'Privacy Analyst Evaluation'!$A$46:$F$120,4,0),""))&amp;""</f>
      </c>
      <c r="F271" s="208">
        <f>IFERROR(VLOOKUP($B271,'Institution Evaluation'!$A$55:$F$345,6,0),IFERROR(VLOOKUP($B271,'Privacy Analyst Evaluation'!$A$46:$F$120,6,0),""))&amp;""</f>
      </c>
      <c r="G271" s="209"/>
      <c r="H271" s="208" t="str">
        <f>IFERROR(IF($H270+1&gt;'(backend scoring)'!$Q$335,"",$H270+1),"")</f>
      </c>
      <c r="I271" s="208">
        <f>_xlfn.XLOOKUP($H271,'(backend scoring)'!$S$2:$S$333,'(backend scoring)'!$A$2:$A$333,"")</f>
      </c>
      <c r="J271" s="208">
        <f>IFERROR(VLOOKUP($I271,'Institution Evaluation'!$A$55:$F$345,2,0),IFERROR(VLOOKUP($I271,'Privacy Analyst Evaluation'!$A$46:$F$120,2,0),""))</f>
      </c>
      <c r="K271" s="208">
        <f>IFERROR(VLOOKUP($I271,'Institution Evaluation'!$A$55:$F$345,3,0),IFERROR(VLOOKUP($I271,'Privacy Analyst Evaluation'!$A$46:$F$120,3,0),""))&amp;""</f>
      </c>
      <c r="L271" s="208">
        <f>IFERROR(VLOOKUP($I271,'Institution Evaluation'!$A$55:$F$345,4,0),IFERROR(VLOOKUP($I271,'Privacy Analyst Evaluation'!$A$46:$F$120,4,0),""))&amp;""</f>
      </c>
      <c r="M271" s="208">
        <f>IFERROR(VLOOKUP($I271,'Institution Evaluation'!$A$55:$F$345,6,0),IFERROR(VLOOKUP($I271,'Privacy Analyst Evaluation'!$A$46:$F$120,6,0),""))&amp;""</f>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ht="17" x14ac:dyDescent="0.2">
      <c r="A272" s="208" t="str">
        <f>IFERROR(IF($A271+1&gt;'(backend scoring)'!$T$335,"",$A271+1),"")</f>
      </c>
      <c r="B272" s="208">
        <f>_xlfn.XLOOKUP($A272,'(backend scoring)'!$V$2:$V$333,'(backend scoring)'!$A$2:$A$333,"")</f>
      </c>
      <c r="C272" s="208">
        <f>IFERROR(VLOOKUP($B272,'Institution Evaluation'!$A$55:$F$345,2,0),IFERROR(VLOOKUP($B272,'Privacy Analyst Evaluation'!$A$46:$F$120,2,0),""))&amp;""</f>
      </c>
      <c r="D272" s="208">
        <f>IFERROR(VLOOKUP($B272,'Institution Evaluation'!$A$55:$F$345,3,0),IFERROR(VLOOKUP($B272,'Privacy Analyst Evaluation'!$A$46:$F$120,3,0),""))&amp;""</f>
      </c>
      <c r="E272" s="208">
        <f>IFERROR(VLOOKUP($B272,'Institution Evaluation'!$A$55:$F$345,4,0),IFERROR(VLOOKUP($B272,'Privacy Analyst Evaluation'!$A$46:$F$120,4,0),""))&amp;""</f>
      </c>
      <c r="F272" s="208">
        <f>IFERROR(VLOOKUP($B272,'Institution Evaluation'!$A$55:$F$345,6,0),IFERROR(VLOOKUP($B272,'Privacy Analyst Evaluation'!$A$46:$F$120,6,0),""))&amp;""</f>
      </c>
      <c r="G272" s="209"/>
      <c r="H272" s="208" t="str">
        <f>IFERROR(IF($H271+1&gt;'(backend scoring)'!$Q$335,"",$H271+1),"")</f>
      </c>
      <c r="I272" s="208">
        <f>_xlfn.XLOOKUP($H272,'(backend scoring)'!$S$2:$S$333,'(backend scoring)'!$A$2:$A$333,"")</f>
      </c>
      <c r="J272" s="208">
        <f>IFERROR(VLOOKUP($I272,'Institution Evaluation'!$A$55:$F$345,2,0),IFERROR(VLOOKUP($I272,'Privacy Analyst Evaluation'!$A$46:$F$120,2,0),""))</f>
      </c>
      <c r="K272" s="208">
        <f>IFERROR(VLOOKUP($I272,'Institution Evaluation'!$A$55:$F$345,3,0),IFERROR(VLOOKUP($I272,'Privacy Analyst Evaluation'!$A$46:$F$120,3,0),""))&amp;""</f>
      </c>
      <c r="L272" s="208">
        <f>IFERROR(VLOOKUP($I272,'Institution Evaluation'!$A$55:$F$345,4,0),IFERROR(VLOOKUP($I272,'Privacy Analyst Evaluation'!$A$46:$F$120,4,0),""))&amp;""</f>
      </c>
      <c r="M272" s="208">
        <f>IFERROR(VLOOKUP($I272,'Institution Evaluation'!$A$55:$F$345,6,0),IFERROR(VLOOKUP($I272,'Privacy Analyst Evaluation'!$A$46:$F$120,6,0),""))&amp;""</f>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ht="17" x14ac:dyDescent="0.2">
      <c r="A273" s="208" t="str">
        <f>IFERROR(IF($A272+1&gt;'(backend scoring)'!$T$335,"",$A272+1),"")</f>
      </c>
      <c r="B273" s="208">
        <f>_xlfn.XLOOKUP($A273,'(backend scoring)'!$V$2:$V$333,'(backend scoring)'!$A$2:$A$333,"")</f>
      </c>
      <c r="C273" s="208">
        <f>IFERROR(VLOOKUP($B273,'Institution Evaluation'!$A$55:$F$345,2,0),IFERROR(VLOOKUP($B273,'Privacy Analyst Evaluation'!$A$46:$F$120,2,0),""))&amp;""</f>
      </c>
      <c r="D273" s="208">
        <f>IFERROR(VLOOKUP($B273,'Institution Evaluation'!$A$55:$F$345,3,0),IFERROR(VLOOKUP($B273,'Privacy Analyst Evaluation'!$A$46:$F$120,3,0),""))&amp;""</f>
      </c>
      <c r="E273" s="208">
        <f>IFERROR(VLOOKUP($B273,'Institution Evaluation'!$A$55:$F$345,4,0),IFERROR(VLOOKUP($B273,'Privacy Analyst Evaluation'!$A$46:$F$120,4,0),""))&amp;""</f>
      </c>
      <c r="F273" s="208">
        <f>IFERROR(VLOOKUP($B273,'Institution Evaluation'!$A$55:$F$345,6,0),IFERROR(VLOOKUP($B273,'Privacy Analyst Evaluation'!$A$46:$F$120,6,0),""))&amp;""</f>
      </c>
      <c r="G273" s="209"/>
      <c r="H273" s="208" t="str">
        <f>IFERROR(IF($H272+1&gt;'(backend scoring)'!$Q$335,"",$H272+1),"")</f>
      </c>
      <c r="I273" s="208">
        <f>_xlfn.XLOOKUP($H273,'(backend scoring)'!$S$2:$S$333,'(backend scoring)'!$A$2:$A$333,"")</f>
      </c>
      <c r="J273" s="208">
        <f>IFERROR(VLOOKUP($I273,'Institution Evaluation'!$A$55:$F$345,2,0),IFERROR(VLOOKUP($I273,'Privacy Analyst Evaluation'!$A$46:$F$120,2,0),""))</f>
      </c>
      <c r="K273" s="208">
        <f>IFERROR(VLOOKUP($I273,'Institution Evaluation'!$A$55:$F$345,3,0),IFERROR(VLOOKUP($I273,'Privacy Analyst Evaluation'!$A$46:$F$120,3,0),""))&amp;""</f>
      </c>
      <c r="L273" s="208">
        <f>IFERROR(VLOOKUP($I273,'Institution Evaluation'!$A$55:$F$345,4,0),IFERROR(VLOOKUP($I273,'Privacy Analyst Evaluation'!$A$46:$F$120,4,0),""))&amp;""</f>
      </c>
      <c r="M273" s="208">
        <f>IFERROR(VLOOKUP($I273,'Institution Evaluation'!$A$55:$F$345,6,0),IFERROR(VLOOKUP($I273,'Privacy Analyst Evaluation'!$A$46:$F$120,6,0),""))&amp;""</f>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ht="17" x14ac:dyDescent="0.2">
      <c r="A274" s="208" t="str">
        <f>IFERROR(IF($A273+1&gt;'(backend scoring)'!$T$335,"",$A273+1),"")</f>
      </c>
      <c r="B274" s="208">
        <f>_xlfn.XLOOKUP($A274,'(backend scoring)'!$V$2:$V$333,'(backend scoring)'!$A$2:$A$333,"")</f>
      </c>
      <c r="C274" s="208">
        <f>IFERROR(VLOOKUP($B274,'Institution Evaluation'!$A$55:$F$345,2,0),IFERROR(VLOOKUP($B274,'Privacy Analyst Evaluation'!$A$46:$F$120,2,0),""))&amp;""</f>
      </c>
      <c r="D274" s="208">
        <f>IFERROR(VLOOKUP($B274,'Institution Evaluation'!$A$55:$F$345,3,0),IFERROR(VLOOKUP($B274,'Privacy Analyst Evaluation'!$A$46:$F$120,3,0),""))&amp;""</f>
      </c>
      <c r="E274" s="208">
        <f>IFERROR(VLOOKUP($B274,'Institution Evaluation'!$A$55:$F$345,4,0),IFERROR(VLOOKUP($B274,'Privacy Analyst Evaluation'!$A$46:$F$120,4,0),""))&amp;""</f>
      </c>
      <c r="F274" s="208">
        <f>IFERROR(VLOOKUP($B274,'Institution Evaluation'!$A$55:$F$345,6,0),IFERROR(VLOOKUP($B274,'Privacy Analyst Evaluation'!$A$46:$F$120,6,0),""))&amp;""</f>
      </c>
      <c r="G274" s="209"/>
      <c r="H274" s="208" t="str">
        <f>IFERROR(IF($H273+1&gt;'(backend scoring)'!$Q$335,"",$H273+1),"")</f>
      </c>
      <c r="I274" s="208">
        <f>_xlfn.XLOOKUP($H274,'(backend scoring)'!$S$2:$S$333,'(backend scoring)'!$A$2:$A$333,"")</f>
      </c>
      <c r="J274" s="208">
        <f>IFERROR(VLOOKUP($I274,'Institution Evaluation'!$A$55:$F$345,2,0),IFERROR(VLOOKUP($I274,'Privacy Analyst Evaluation'!$A$46:$F$120,2,0),""))</f>
      </c>
      <c r="K274" s="208">
        <f>IFERROR(VLOOKUP($I274,'Institution Evaluation'!$A$55:$F$345,3,0),IFERROR(VLOOKUP($I274,'Privacy Analyst Evaluation'!$A$46:$F$120,3,0),""))&amp;""</f>
      </c>
      <c r="L274" s="208">
        <f>IFERROR(VLOOKUP($I274,'Institution Evaluation'!$A$55:$F$345,4,0),IFERROR(VLOOKUP($I274,'Privacy Analyst Evaluation'!$A$46:$F$120,4,0),""))&amp;""</f>
      </c>
      <c r="M274" s="208">
        <f>IFERROR(VLOOKUP($I274,'Institution Evaluation'!$A$55:$F$345,6,0),IFERROR(VLOOKUP($I274,'Privacy Analyst Evaluation'!$A$46:$F$120,6,0),""))&amp;""</f>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ht="17" x14ac:dyDescent="0.2">
      <c r="A275" s="208" t="str">
        <f>IFERROR(IF($A274+1&gt;'(backend scoring)'!$T$335,"",$A274+1),"")</f>
      </c>
      <c r="B275" s="208">
        <f>_xlfn.XLOOKUP($A275,'(backend scoring)'!$V$2:$V$333,'(backend scoring)'!$A$2:$A$333,"")</f>
      </c>
      <c r="C275" s="208">
        <f>IFERROR(VLOOKUP($B275,'Institution Evaluation'!$A$55:$F$345,2,0),IFERROR(VLOOKUP($B275,'Privacy Analyst Evaluation'!$A$46:$F$120,2,0),""))&amp;""</f>
      </c>
      <c r="D275" s="208">
        <f>IFERROR(VLOOKUP($B275,'Institution Evaluation'!$A$55:$F$345,3,0),IFERROR(VLOOKUP($B275,'Privacy Analyst Evaluation'!$A$46:$F$120,3,0),""))&amp;""</f>
      </c>
      <c r="E275" s="208">
        <f>IFERROR(VLOOKUP($B275,'Institution Evaluation'!$A$55:$F$345,4,0),IFERROR(VLOOKUP($B275,'Privacy Analyst Evaluation'!$A$46:$F$120,4,0),""))&amp;""</f>
      </c>
      <c r="F275" s="208">
        <f>IFERROR(VLOOKUP($B275,'Institution Evaluation'!$A$55:$F$345,6,0),IFERROR(VLOOKUP($B275,'Privacy Analyst Evaluation'!$A$46:$F$120,6,0),""))&amp;""</f>
      </c>
      <c r="G275" s="209"/>
      <c r="H275" s="208" t="str">
        <f>IFERROR(IF($H274+1&gt;'(backend scoring)'!$Q$335,"",$H274+1),"")</f>
      </c>
      <c r="I275" s="208">
        <f>_xlfn.XLOOKUP($H275,'(backend scoring)'!$S$2:$S$333,'(backend scoring)'!$A$2:$A$333,"")</f>
      </c>
      <c r="J275" s="208">
        <f>IFERROR(VLOOKUP($I275,'Institution Evaluation'!$A$55:$F$345,2,0),IFERROR(VLOOKUP($I275,'Privacy Analyst Evaluation'!$A$46:$F$120,2,0),""))</f>
      </c>
      <c r="K275" s="208">
        <f>IFERROR(VLOOKUP($I275,'Institution Evaluation'!$A$55:$F$345,3,0),IFERROR(VLOOKUP($I275,'Privacy Analyst Evaluation'!$A$46:$F$120,3,0),""))&amp;""</f>
      </c>
      <c r="L275" s="208">
        <f>IFERROR(VLOOKUP($I275,'Institution Evaluation'!$A$55:$F$345,4,0),IFERROR(VLOOKUP($I275,'Privacy Analyst Evaluation'!$A$46:$F$120,4,0),""))&amp;""</f>
      </c>
      <c r="M275" s="208">
        <f>IFERROR(VLOOKUP($I275,'Institution Evaluation'!$A$55:$F$345,6,0),IFERROR(VLOOKUP($I275,'Privacy Analyst Evaluation'!$A$46:$F$120,6,0),""))&amp;""</f>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ht="17" x14ac:dyDescent="0.2">
      <c r="A276" s="208" t="str">
        <f>IFERROR(IF($A275+1&gt;'(backend scoring)'!$T$335,"",$A275+1),"")</f>
      </c>
      <c r="B276" s="208">
        <f>_xlfn.XLOOKUP($A276,'(backend scoring)'!$V$2:$V$333,'(backend scoring)'!$A$2:$A$333,"")</f>
      </c>
      <c r="C276" s="208">
        <f>IFERROR(VLOOKUP($B276,'Institution Evaluation'!$A$55:$F$345,2,0),IFERROR(VLOOKUP($B276,'Privacy Analyst Evaluation'!$A$46:$F$120,2,0),""))&amp;""</f>
      </c>
      <c r="D276" s="208">
        <f>IFERROR(VLOOKUP($B276,'Institution Evaluation'!$A$55:$F$345,3,0),IFERROR(VLOOKUP($B276,'Privacy Analyst Evaluation'!$A$46:$F$120,3,0),""))&amp;""</f>
      </c>
      <c r="E276" s="208">
        <f>IFERROR(VLOOKUP($B276,'Institution Evaluation'!$A$55:$F$345,4,0),IFERROR(VLOOKUP($B276,'Privacy Analyst Evaluation'!$A$46:$F$120,4,0),""))&amp;""</f>
      </c>
      <c r="F276" s="208">
        <f>IFERROR(VLOOKUP($B276,'Institution Evaluation'!$A$55:$F$345,6,0),IFERROR(VLOOKUP($B276,'Privacy Analyst Evaluation'!$A$46:$F$120,6,0),""))&amp;""</f>
      </c>
      <c r="G276" s="209"/>
      <c r="H276" s="208" t="str">
        <f>IFERROR(IF($H275+1&gt;'(backend scoring)'!$Q$335,"",$H275+1),"")</f>
      </c>
      <c r="I276" s="208">
        <f>_xlfn.XLOOKUP($H276,'(backend scoring)'!$S$2:$S$333,'(backend scoring)'!$A$2:$A$333,"")</f>
      </c>
      <c r="J276" s="208">
        <f>IFERROR(VLOOKUP($I276,'Institution Evaluation'!$A$55:$F$345,2,0),IFERROR(VLOOKUP($I276,'Privacy Analyst Evaluation'!$A$46:$F$120,2,0),""))</f>
      </c>
      <c r="K276" s="208">
        <f>IFERROR(VLOOKUP($I276,'Institution Evaluation'!$A$55:$F$345,3,0),IFERROR(VLOOKUP($I276,'Privacy Analyst Evaluation'!$A$46:$F$120,3,0),""))&amp;""</f>
      </c>
      <c r="L276" s="208">
        <f>IFERROR(VLOOKUP($I276,'Institution Evaluation'!$A$55:$F$345,4,0),IFERROR(VLOOKUP($I276,'Privacy Analyst Evaluation'!$A$46:$F$120,4,0),""))&amp;""</f>
      </c>
      <c r="M276" s="208">
        <f>IFERROR(VLOOKUP($I276,'Institution Evaluation'!$A$55:$F$345,6,0),IFERROR(VLOOKUP($I276,'Privacy Analyst Evaluation'!$A$46:$F$120,6,0),""))&amp;""</f>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ht="17" x14ac:dyDescent="0.2">
      <c r="A277" s="208" t="str">
        <f>IFERROR(IF($A276+1&gt;'(backend scoring)'!$T$335,"",$A276+1),"")</f>
      </c>
      <c r="B277" s="208">
        <f>_xlfn.XLOOKUP($A277,'(backend scoring)'!$V$2:$V$333,'(backend scoring)'!$A$2:$A$333,"")</f>
      </c>
      <c r="C277" s="208">
        <f>IFERROR(VLOOKUP($B277,'Institution Evaluation'!$A$55:$F$345,2,0),IFERROR(VLOOKUP($B277,'Privacy Analyst Evaluation'!$A$46:$F$120,2,0),""))&amp;""</f>
      </c>
      <c r="D277" s="208">
        <f>IFERROR(VLOOKUP($B277,'Institution Evaluation'!$A$55:$F$345,3,0),IFERROR(VLOOKUP($B277,'Privacy Analyst Evaluation'!$A$46:$F$120,3,0),""))&amp;""</f>
      </c>
      <c r="E277" s="208">
        <f>IFERROR(VLOOKUP($B277,'Institution Evaluation'!$A$55:$F$345,4,0),IFERROR(VLOOKUP($B277,'Privacy Analyst Evaluation'!$A$46:$F$120,4,0),""))&amp;""</f>
      </c>
      <c r="F277" s="208">
        <f>IFERROR(VLOOKUP($B277,'Institution Evaluation'!$A$55:$F$345,6,0),IFERROR(VLOOKUP($B277,'Privacy Analyst Evaluation'!$A$46:$F$120,6,0),""))&amp;""</f>
      </c>
      <c r="G277" s="209"/>
      <c r="H277" s="208" t="str">
        <f>IFERROR(IF($H276+1&gt;'(backend scoring)'!$Q$335,"",$H276+1),"")</f>
      </c>
      <c r="I277" s="208">
        <f>_xlfn.XLOOKUP($H277,'(backend scoring)'!$S$2:$S$333,'(backend scoring)'!$A$2:$A$333,"")</f>
      </c>
      <c r="J277" s="208">
        <f>IFERROR(VLOOKUP($I277,'Institution Evaluation'!$A$55:$F$345,2,0),IFERROR(VLOOKUP($I277,'Privacy Analyst Evaluation'!$A$46:$F$120,2,0),""))</f>
      </c>
      <c r="K277" s="208">
        <f>IFERROR(VLOOKUP($I277,'Institution Evaluation'!$A$55:$F$345,3,0),IFERROR(VLOOKUP($I277,'Privacy Analyst Evaluation'!$A$46:$F$120,3,0),""))&amp;""</f>
      </c>
      <c r="L277" s="208">
        <f>IFERROR(VLOOKUP($I277,'Institution Evaluation'!$A$55:$F$345,4,0),IFERROR(VLOOKUP($I277,'Privacy Analyst Evaluation'!$A$46:$F$120,4,0),""))&amp;""</f>
      </c>
      <c r="M277" s="208">
        <f>IFERROR(VLOOKUP($I277,'Institution Evaluation'!$A$55:$F$345,6,0),IFERROR(VLOOKUP($I277,'Privacy Analyst Evaluation'!$A$46:$F$120,6,0),""))&amp;""</f>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ht="17" x14ac:dyDescent="0.2">
      <c r="A278" s="208" t="str">
        <f>IFERROR(IF($A277+1&gt;'(backend scoring)'!$T$335,"",$A277+1),"")</f>
      </c>
      <c r="B278" s="208">
        <f>_xlfn.XLOOKUP($A278,'(backend scoring)'!$V$2:$V$333,'(backend scoring)'!$A$2:$A$333,"")</f>
      </c>
      <c r="C278" s="208">
        <f>IFERROR(VLOOKUP($B278,'Institution Evaluation'!$A$55:$F$345,2,0),IFERROR(VLOOKUP($B278,'Privacy Analyst Evaluation'!$A$46:$F$120,2,0),""))&amp;""</f>
      </c>
      <c r="D278" s="208">
        <f>IFERROR(VLOOKUP($B278,'Institution Evaluation'!$A$55:$F$345,3,0),IFERROR(VLOOKUP($B278,'Privacy Analyst Evaluation'!$A$46:$F$120,3,0),""))&amp;""</f>
      </c>
      <c r="E278" s="208">
        <f>IFERROR(VLOOKUP($B278,'Institution Evaluation'!$A$55:$F$345,4,0),IFERROR(VLOOKUP($B278,'Privacy Analyst Evaluation'!$A$46:$F$120,4,0),""))&amp;""</f>
      </c>
      <c r="F278" s="208">
        <f>IFERROR(VLOOKUP($B278,'Institution Evaluation'!$A$55:$F$345,6,0),IFERROR(VLOOKUP($B278,'Privacy Analyst Evaluation'!$A$46:$F$120,6,0),""))&amp;""</f>
      </c>
      <c r="G278" s="209"/>
      <c r="H278" s="208" t="str">
        <f>IFERROR(IF($H277+1&gt;'(backend scoring)'!$Q$335,"",$H277+1),"")</f>
      </c>
      <c r="I278" s="208">
        <f>_xlfn.XLOOKUP($H278,'(backend scoring)'!$S$2:$S$333,'(backend scoring)'!$A$2:$A$333,"")</f>
      </c>
      <c r="J278" s="208">
        <f>IFERROR(VLOOKUP($I278,'Institution Evaluation'!$A$55:$F$345,2,0),IFERROR(VLOOKUP($I278,'Privacy Analyst Evaluation'!$A$46:$F$120,2,0),""))</f>
      </c>
      <c r="K278" s="208">
        <f>IFERROR(VLOOKUP($I278,'Institution Evaluation'!$A$55:$F$345,3,0),IFERROR(VLOOKUP($I278,'Privacy Analyst Evaluation'!$A$46:$F$120,3,0),""))&amp;""</f>
      </c>
      <c r="L278" s="208">
        <f>IFERROR(VLOOKUP($I278,'Institution Evaluation'!$A$55:$F$345,4,0),IFERROR(VLOOKUP($I278,'Privacy Analyst Evaluation'!$A$46:$F$120,4,0),""))&amp;""</f>
      </c>
      <c r="M278" s="208">
        <f>IFERROR(VLOOKUP($I278,'Institution Evaluation'!$A$55:$F$345,6,0),IFERROR(VLOOKUP($I278,'Privacy Analyst Evaluation'!$A$46:$F$120,6,0),""))&amp;""</f>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ht="17" x14ac:dyDescent="0.2">
      <c r="A279" s="208" t="str">
        <f>IFERROR(IF($A278+1&gt;'(backend scoring)'!$T$335,"",$A278+1),"")</f>
      </c>
      <c r="B279" s="208">
        <f>_xlfn.XLOOKUP($A279,'(backend scoring)'!$V$2:$V$333,'(backend scoring)'!$A$2:$A$333,"")</f>
      </c>
      <c r="C279" s="208">
        <f>IFERROR(VLOOKUP($B279,'Institution Evaluation'!$A$55:$F$345,2,0),IFERROR(VLOOKUP($B279,'Privacy Analyst Evaluation'!$A$46:$F$120,2,0),""))&amp;""</f>
      </c>
      <c r="D279" s="208">
        <f>IFERROR(VLOOKUP($B279,'Institution Evaluation'!$A$55:$F$345,3,0),IFERROR(VLOOKUP($B279,'Privacy Analyst Evaluation'!$A$46:$F$120,3,0),""))&amp;""</f>
      </c>
      <c r="E279" s="208">
        <f>IFERROR(VLOOKUP($B279,'Institution Evaluation'!$A$55:$F$345,4,0),IFERROR(VLOOKUP($B279,'Privacy Analyst Evaluation'!$A$46:$F$120,4,0),""))&amp;""</f>
      </c>
      <c r="F279" s="208">
        <f>IFERROR(VLOOKUP($B279,'Institution Evaluation'!$A$55:$F$345,6,0),IFERROR(VLOOKUP($B279,'Privacy Analyst Evaluation'!$A$46:$F$120,6,0),""))&amp;""</f>
      </c>
      <c r="G279" s="209"/>
      <c r="H279" s="208" t="str">
        <f>IFERROR(IF($H278+1&gt;'(backend scoring)'!$Q$335,"",$H278+1),"")</f>
      </c>
      <c r="I279" s="208">
        <f>_xlfn.XLOOKUP($H279,'(backend scoring)'!$S$2:$S$333,'(backend scoring)'!$A$2:$A$333,"")</f>
      </c>
      <c r="J279" s="208">
        <f>IFERROR(VLOOKUP($I279,'Institution Evaluation'!$A$55:$F$345,2,0),IFERROR(VLOOKUP($I279,'Privacy Analyst Evaluation'!$A$46:$F$120,2,0),""))</f>
      </c>
      <c r="K279" s="208">
        <f>IFERROR(VLOOKUP($I279,'Institution Evaluation'!$A$55:$F$345,3,0),IFERROR(VLOOKUP($I279,'Privacy Analyst Evaluation'!$A$46:$F$120,3,0),""))&amp;""</f>
      </c>
      <c r="L279" s="208">
        <f>IFERROR(VLOOKUP($I279,'Institution Evaluation'!$A$55:$F$345,4,0),IFERROR(VLOOKUP($I279,'Privacy Analyst Evaluation'!$A$46:$F$120,4,0),""))&amp;""</f>
      </c>
      <c r="M279" s="208">
        <f>IFERROR(VLOOKUP($I279,'Institution Evaluation'!$A$55:$F$345,6,0),IFERROR(VLOOKUP($I279,'Privacy Analyst Evaluation'!$A$46:$F$120,6,0),""))&amp;""</f>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ht="17" x14ac:dyDescent="0.2">
      <c r="A280" s="208" t="str">
        <f>IFERROR(IF($A279+1&gt;'(backend scoring)'!$T$335,"",$A279+1),"")</f>
      </c>
      <c r="B280" s="208">
        <f>_xlfn.XLOOKUP($A280,'(backend scoring)'!$V$2:$V$333,'(backend scoring)'!$A$2:$A$333,"")</f>
      </c>
      <c r="C280" s="208">
        <f>IFERROR(VLOOKUP($B280,'Institution Evaluation'!$A$55:$F$345,2,0),IFERROR(VLOOKUP($B280,'Privacy Analyst Evaluation'!$A$46:$F$120,2,0),""))&amp;""</f>
      </c>
      <c r="D280" s="208">
        <f>IFERROR(VLOOKUP($B280,'Institution Evaluation'!$A$55:$F$345,3,0),IFERROR(VLOOKUP($B280,'Privacy Analyst Evaluation'!$A$46:$F$120,3,0),""))&amp;""</f>
      </c>
      <c r="E280" s="208">
        <f>IFERROR(VLOOKUP($B280,'Institution Evaluation'!$A$55:$F$345,4,0),IFERROR(VLOOKUP($B280,'Privacy Analyst Evaluation'!$A$46:$F$120,4,0),""))&amp;""</f>
      </c>
      <c r="F280" s="208">
        <f>IFERROR(VLOOKUP($B280,'Institution Evaluation'!$A$55:$F$345,6,0),IFERROR(VLOOKUP($B280,'Privacy Analyst Evaluation'!$A$46:$F$120,6,0),""))&amp;""</f>
      </c>
      <c r="G280" s="209"/>
      <c r="H280" s="208" t="str">
        <f>IFERROR(IF($H279+1&gt;'(backend scoring)'!$Q$335,"",$H279+1),"")</f>
      </c>
      <c r="I280" s="208">
        <f>_xlfn.XLOOKUP($H280,'(backend scoring)'!$S$2:$S$333,'(backend scoring)'!$A$2:$A$333,"")</f>
      </c>
      <c r="J280" s="208">
        <f>IFERROR(VLOOKUP($I280,'Institution Evaluation'!$A$55:$F$345,2,0),IFERROR(VLOOKUP($I280,'Privacy Analyst Evaluation'!$A$46:$F$120,2,0),""))</f>
      </c>
      <c r="K280" s="208">
        <f>IFERROR(VLOOKUP($I280,'Institution Evaluation'!$A$55:$F$345,3,0),IFERROR(VLOOKUP($I280,'Privacy Analyst Evaluation'!$A$46:$F$120,3,0),""))&amp;""</f>
      </c>
      <c r="L280" s="208">
        <f>IFERROR(VLOOKUP($I280,'Institution Evaluation'!$A$55:$F$345,4,0),IFERROR(VLOOKUP($I280,'Privacy Analyst Evaluation'!$A$46:$F$120,4,0),""))&amp;""</f>
      </c>
      <c r="M280" s="208">
        <f>IFERROR(VLOOKUP($I280,'Institution Evaluation'!$A$55:$F$345,6,0),IFERROR(VLOOKUP($I280,'Privacy Analyst Evaluation'!$A$46:$F$120,6,0),""))&amp;""</f>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ht="17" x14ac:dyDescent="0.2">
      <c r="A281" s="208" t="str">
        <f>IFERROR(IF($A280+1&gt;'(backend scoring)'!$T$335,"",$A280+1),"")</f>
      </c>
      <c r="B281" s="208">
        <f>_xlfn.XLOOKUP($A281,'(backend scoring)'!$V$2:$V$333,'(backend scoring)'!$A$2:$A$333,"")</f>
      </c>
      <c r="C281" s="208">
        <f>IFERROR(VLOOKUP($B281,'Institution Evaluation'!$A$55:$F$345,2,0),IFERROR(VLOOKUP($B281,'Privacy Analyst Evaluation'!$A$46:$F$120,2,0),""))&amp;""</f>
      </c>
      <c r="D281" s="208">
        <f>IFERROR(VLOOKUP($B281,'Institution Evaluation'!$A$55:$F$345,3,0),IFERROR(VLOOKUP($B281,'Privacy Analyst Evaluation'!$A$46:$F$120,3,0),""))&amp;""</f>
      </c>
      <c r="E281" s="208">
        <f>IFERROR(VLOOKUP($B281,'Institution Evaluation'!$A$55:$F$345,4,0),IFERROR(VLOOKUP($B281,'Privacy Analyst Evaluation'!$A$46:$F$120,4,0),""))&amp;""</f>
      </c>
      <c r="F281" s="208">
        <f>IFERROR(VLOOKUP($B281,'Institution Evaluation'!$A$55:$F$345,6,0),IFERROR(VLOOKUP($B281,'Privacy Analyst Evaluation'!$A$46:$F$120,6,0),""))&amp;""</f>
      </c>
      <c r="G281" s="209"/>
      <c r="H281" s="208" t="str">
        <f>IFERROR(IF($H280+1&gt;'(backend scoring)'!$Q$335,"",$H280+1),"")</f>
      </c>
      <c r="I281" s="208">
        <f>_xlfn.XLOOKUP($H281,'(backend scoring)'!$S$2:$S$333,'(backend scoring)'!$A$2:$A$333,"")</f>
      </c>
      <c r="J281" s="208">
        <f>IFERROR(VLOOKUP($I281,'Institution Evaluation'!$A$55:$F$345,2,0),IFERROR(VLOOKUP($I281,'Privacy Analyst Evaluation'!$A$46:$F$120,2,0),""))</f>
      </c>
      <c r="K281" s="208">
        <f>IFERROR(VLOOKUP($I281,'Institution Evaluation'!$A$55:$F$345,3,0),IFERROR(VLOOKUP($I281,'Privacy Analyst Evaluation'!$A$46:$F$120,3,0),""))&amp;""</f>
      </c>
      <c r="L281" s="208">
        <f>IFERROR(VLOOKUP($I281,'Institution Evaluation'!$A$55:$F$345,4,0),IFERROR(VLOOKUP($I281,'Privacy Analyst Evaluation'!$A$46:$F$120,4,0),""))&amp;""</f>
      </c>
      <c r="M281" s="208">
        <f>IFERROR(VLOOKUP($I281,'Institution Evaluation'!$A$55:$F$345,6,0),IFERROR(VLOOKUP($I281,'Privacy Analyst Evaluation'!$A$46:$F$120,6,0),""))&amp;""</f>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ht="17" x14ac:dyDescent="0.2">
      <c r="A282" s="208" t="str">
        <f>IFERROR(IF($A281+1&gt;'(backend scoring)'!$T$335,"",$A281+1),"")</f>
      </c>
      <c r="B282" s="208">
        <f>_xlfn.XLOOKUP($A282,'(backend scoring)'!$V$2:$V$333,'(backend scoring)'!$A$2:$A$333,"")</f>
      </c>
      <c r="C282" s="208">
        <f>IFERROR(VLOOKUP($B282,'Institution Evaluation'!$A$55:$F$345,2,0),IFERROR(VLOOKUP($B282,'Privacy Analyst Evaluation'!$A$46:$F$120,2,0),""))&amp;""</f>
      </c>
      <c r="D282" s="208">
        <f>IFERROR(VLOOKUP($B282,'Institution Evaluation'!$A$55:$F$345,3,0),IFERROR(VLOOKUP($B282,'Privacy Analyst Evaluation'!$A$46:$F$120,3,0),""))&amp;""</f>
      </c>
      <c r="E282" s="208">
        <f>IFERROR(VLOOKUP($B282,'Institution Evaluation'!$A$55:$F$345,4,0),IFERROR(VLOOKUP($B282,'Privacy Analyst Evaluation'!$A$46:$F$120,4,0),""))&amp;""</f>
      </c>
      <c r="F282" s="208">
        <f>IFERROR(VLOOKUP($B282,'Institution Evaluation'!$A$55:$F$345,6,0),IFERROR(VLOOKUP($B282,'Privacy Analyst Evaluation'!$A$46:$F$120,6,0),""))&amp;""</f>
      </c>
      <c r="G282" s="209"/>
      <c r="H282" s="208" t="str">
        <f>IFERROR(IF($H281+1&gt;'(backend scoring)'!$Q$335,"",$H281+1),"")</f>
      </c>
      <c r="I282" s="208">
        <f>_xlfn.XLOOKUP($H282,'(backend scoring)'!$S$2:$S$333,'(backend scoring)'!$A$2:$A$333,"")</f>
      </c>
      <c r="J282" s="208">
        <f>IFERROR(VLOOKUP($I282,'Institution Evaluation'!$A$55:$F$345,2,0),IFERROR(VLOOKUP($I282,'Privacy Analyst Evaluation'!$A$46:$F$120,2,0),""))</f>
      </c>
      <c r="K282" s="208">
        <f>IFERROR(VLOOKUP($I282,'Institution Evaluation'!$A$55:$F$345,3,0),IFERROR(VLOOKUP($I282,'Privacy Analyst Evaluation'!$A$46:$F$120,3,0),""))&amp;""</f>
      </c>
      <c r="L282" s="208">
        <f>IFERROR(VLOOKUP($I282,'Institution Evaluation'!$A$55:$F$345,4,0),IFERROR(VLOOKUP($I282,'Privacy Analyst Evaluation'!$A$46:$F$120,4,0),""))&amp;""</f>
      </c>
      <c r="M282" s="208">
        <f>IFERROR(VLOOKUP($I282,'Institution Evaluation'!$A$55:$F$345,6,0),IFERROR(VLOOKUP($I282,'Privacy Analyst Evaluation'!$A$46:$F$120,6,0),""))&amp;""</f>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ht="17" x14ac:dyDescent="0.2">
      <c r="A283" s="208" t="str">
        <f>IFERROR(IF($A282+1&gt;'(backend scoring)'!$T$335,"",$A282+1),"")</f>
      </c>
      <c r="B283" s="208">
        <f>_xlfn.XLOOKUP($A283,'(backend scoring)'!$V$2:$V$333,'(backend scoring)'!$A$2:$A$333,"")</f>
      </c>
      <c r="C283" s="208">
        <f>IFERROR(VLOOKUP($B283,'Institution Evaluation'!$A$55:$F$345,2,0),IFERROR(VLOOKUP($B283,'Privacy Analyst Evaluation'!$A$46:$F$120,2,0),""))&amp;""</f>
      </c>
      <c r="D283" s="208">
        <f>IFERROR(VLOOKUP($B283,'Institution Evaluation'!$A$55:$F$345,3,0),IFERROR(VLOOKUP($B283,'Privacy Analyst Evaluation'!$A$46:$F$120,3,0),""))&amp;""</f>
      </c>
      <c r="E283" s="208">
        <f>IFERROR(VLOOKUP($B283,'Institution Evaluation'!$A$55:$F$345,4,0),IFERROR(VLOOKUP($B283,'Privacy Analyst Evaluation'!$A$46:$F$120,4,0),""))&amp;""</f>
      </c>
      <c r="F283" s="208">
        <f>IFERROR(VLOOKUP($B283,'Institution Evaluation'!$A$55:$F$345,6,0),IFERROR(VLOOKUP($B283,'Privacy Analyst Evaluation'!$A$46:$F$120,6,0),""))&amp;""</f>
      </c>
      <c r="G283" s="209"/>
      <c r="H283" s="208" t="str">
        <f>IFERROR(IF($H282+1&gt;'(backend scoring)'!$Q$335,"",$H282+1),"")</f>
      </c>
      <c r="I283" s="208">
        <f>_xlfn.XLOOKUP($H283,'(backend scoring)'!$S$2:$S$333,'(backend scoring)'!$A$2:$A$333,"")</f>
      </c>
      <c r="J283" s="208">
        <f>IFERROR(VLOOKUP($I283,'Institution Evaluation'!$A$55:$F$345,2,0),IFERROR(VLOOKUP($I283,'Privacy Analyst Evaluation'!$A$46:$F$120,2,0),""))</f>
      </c>
      <c r="K283" s="208">
        <f>IFERROR(VLOOKUP($I283,'Institution Evaluation'!$A$55:$F$345,3,0),IFERROR(VLOOKUP($I283,'Privacy Analyst Evaluation'!$A$46:$F$120,3,0),""))&amp;""</f>
      </c>
      <c r="L283" s="208">
        <f>IFERROR(VLOOKUP($I283,'Institution Evaluation'!$A$55:$F$345,4,0),IFERROR(VLOOKUP($I283,'Privacy Analyst Evaluation'!$A$46:$F$120,4,0),""))&amp;""</f>
      </c>
      <c r="M283" s="208">
        <f>IFERROR(VLOOKUP($I283,'Institution Evaluation'!$A$55:$F$345,6,0),IFERROR(VLOOKUP($I283,'Privacy Analyst Evaluation'!$A$46:$F$120,6,0),""))&amp;""</f>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ht="17" x14ac:dyDescent="0.2">
      <c r="A284" s="208" t="str">
        <f>IFERROR(IF($A283+1&gt;'(backend scoring)'!$T$335,"",$A283+1),"")</f>
      </c>
      <c r="B284" s="208">
        <f>_xlfn.XLOOKUP($A284,'(backend scoring)'!$V$2:$V$333,'(backend scoring)'!$A$2:$A$333,"")</f>
      </c>
      <c r="C284" s="208">
        <f>IFERROR(VLOOKUP($B284,'Institution Evaluation'!$A$55:$F$345,2,0),IFERROR(VLOOKUP($B284,'Privacy Analyst Evaluation'!$A$46:$F$120,2,0),""))&amp;""</f>
      </c>
      <c r="D284" s="208">
        <f>IFERROR(VLOOKUP($B284,'Institution Evaluation'!$A$55:$F$345,3,0),IFERROR(VLOOKUP($B284,'Privacy Analyst Evaluation'!$A$46:$F$120,3,0),""))&amp;""</f>
      </c>
      <c r="E284" s="208">
        <f>IFERROR(VLOOKUP($B284,'Institution Evaluation'!$A$55:$F$345,4,0),IFERROR(VLOOKUP($B284,'Privacy Analyst Evaluation'!$A$46:$F$120,4,0),""))&amp;""</f>
      </c>
      <c r="F284" s="208">
        <f>IFERROR(VLOOKUP($B284,'Institution Evaluation'!$A$55:$F$345,6,0),IFERROR(VLOOKUP($B284,'Privacy Analyst Evaluation'!$A$46:$F$120,6,0),""))&amp;""</f>
      </c>
      <c r="G284" s="209"/>
      <c r="H284" s="208" t="str">
        <f>IFERROR(IF($H283+1&gt;'(backend scoring)'!$Q$335,"",$H283+1),"")</f>
      </c>
      <c r="I284" s="208">
        <f>_xlfn.XLOOKUP($H284,'(backend scoring)'!$S$2:$S$333,'(backend scoring)'!$A$2:$A$333,"")</f>
      </c>
      <c r="J284" s="208">
        <f>IFERROR(VLOOKUP($I284,'Institution Evaluation'!$A$55:$F$345,2,0),IFERROR(VLOOKUP($I284,'Privacy Analyst Evaluation'!$A$46:$F$120,2,0),""))</f>
      </c>
      <c r="K284" s="208">
        <f>IFERROR(VLOOKUP($I284,'Institution Evaluation'!$A$55:$F$345,3,0),IFERROR(VLOOKUP($I284,'Privacy Analyst Evaluation'!$A$46:$F$120,3,0),""))&amp;""</f>
      </c>
      <c r="L284" s="208">
        <f>IFERROR(VLOOKUP($I284,'Institution Evaluation'!$A$55:$F$345,4,0),IFERROR(VLOOKUP($I284,'Privacy Analyst Evaluation'!$A$46:$F$120,4,0),""))&amp;""</f>
      </c>
      <c r="M284" s="208">
        <f>IFERROR(VLOOKUP($I284,'Institution Evaluation'!$A$55:$F$345,6,0),IFERROR(VLOOKUP($I284,'Privacy Analyst Evaluation'!$A$46:$F$120,6,0),""))&amp;""</f>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ht="17" x14ac:dyDescent="0.2">
      <c r="A285" s="208" t="str">
        <f>IFERROR(IF($A284+1&gt;'(backend scoring)'!$T$335,"",$A284+1),"")</f>
      </c>
      <c r="B285" s="208">
        <f>_xlfn.XLOOKUP($A285,'(backend scoring)'!$V$2:$V$333,'(backend scoring)'!$A$2:$A$333,"")</f>
      </c>
      <c r="C285" s="208">
        <f>IFERROR(VLOOKUP($B285,'Institution Evaluation'!$A$55:$F$345,2,0),IFERROR(VLOOKUP($B285,'Privacy Analyst Evaluation'!$A$46:$F$120,2,0),""))&amp;""</f>
      </c>
      <c r="D285" s="208">
        <f>IFERROR(VLOOKUP($B285,'Institution Evaluation'!$A$55:$F$345,3,0),IFERROR(VLOOKUP($B285,'Privacy Analyst Evaluation'!$A$46:$F$120,3,0),""))&amp;""</f>
      </c>
      <c r="E285" s="208">
        <f>IFERROR(VLOOKUP($B285,'Institution Evaluation'!$A$55:$F$345,4,0),IFERROR(VLOOKUP($B285,'Privacy Analyst Evaluation'!$A$46:$F$120,4,0),""))&amp;""</f>
      </c>
      <c r="F285" s="208">
        <f>IFERROR(VLOOKUP($B285,'Institution Evaluation'!$A$55:$F$345,6,0),IFERROR(VLOOKUP($B285,'Privacy Analyst Evaluation'!$A$46:$F$120,6,0),""))&amp;""</f>
      </c>
      <c r="G285" s="209"/>
      <c r="H285" s="208" t="str">
        <f>IFERROR(IF($H284+1&gt;'(backend scoring)'!$Q$335,"",$H284+1),"")</f>
      </c>
      <c r="I285" s="208">
        <f>_xlfn.XLOOKUP($H285,'(backend scoring)'!$S$2:$S$333,'(backend scoring)'!$A$2:$A$333,"")</f>
      </c>
      <c r="J285" s="208">
        <f>IFERROR(VLOOKUP($I285,'Institution Evaluation'!$A$55:$F$345,2,0),IFERROR(VLOOKUP($I285,'Privacy Analyst Evaluation'!$A$46:$F$120,2,0),""))</f>
      </c>
      <c r="K285" s="208">
        <f>IFERROR(VLOOKUP($I285,'Institution Evaluation'!$A$55:$F$345,3,0),IFERROR(VLOOKUP($I285,'Privacy Analyst Evaluation'!$A$46:$F$120,3,0),""))&amp;""</f>
      </c>
      <c r="L285" s="208">
        <f>IFERROR(VLOOKUP($I285,'Institution Evaluation'!$A$55:$F$345,4,0),IFERROR(VLOOKUP($I285,'Privacy Analyst Evaluation'!$A$46:$F$120,4,0),""))&amp;""</f>
      </c>
      <c r="M285" s="208">
        <f>IFERROR(VLOOKUP($I285,'Institution Evaluation'!$A$55:$F$345,6,0),IFERROR(VLOOKUP($I285,'Privacy Analyst Evaluation'!$A$46:$F$120,6,0),""))&amp;""</f>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ht="17" x14ac:dyDescent="0.2">
      <c r="A286" s="208" t="str">
        <f>IFERROR(IF($A285+1&gt;'(backend scoring)'!$T$335,"",$A285+1),"")</f>
      </c>
      <c r="B286" s="208">
        <f>_xlfn.XLOOKUP($A286,'(backend scoring)'!$V$2:$V$333,'(backend scoring)'!$A$2:$A$333,"")</f>
      </c>
      <c r="C286" s="208">
        <f>IFERROR(VLOOKUP($B286,'Institution Evaluation'!$A$55:$F$345,2,0),IFERROR(VLOOKUP($B286,'Privacy Analyst Evaluation'!$A$46:$F$120,2,0),""))&amp;""</f>
      </c>
      <c r="D286" s="208">
        <f>IFERROR(VLOOKUP($B286,'Institution Evaluation'!$A$55:$F$345,3,0),IFERROR(VLOOKUP($B286,'Privacy Analyst Evaluation'!$A$46:$F$120,3,0),""))&amp;""</f>
      </c>
      <c r="E286" s="208">
        <f>IFERROR(VLOOKUP($B286,'Institution Evaluation'!$A$55:$F$345,4,0),IFERROR(VLOOKUP($B286,'Privacy Analyst Evaluation'!$A$46:$F$120,4,0),""))&amp;""</f>
      </c>
      <c r="F286" s="208">
        <f>IFERROR(VLOOKUP($B286,'Institution Evaluation'!$A$55:$F$345,6,0),IFERROR(VLOOKUP($B286,'Privacy Analyst Evaluation'!$A$46:$F$120,6,0),""))&amp;""</f>
      </c>
      <c r="G286" s="209"/>
      <c r="H286" s="208" t="str">
        <f>IFERROR(IF($H285+1&gt;'(backend scoring)'!$Q$335,"",$H285+1),"")</f>
      </c>
      <c r="I286" s="208">
        <f>_xlfn.XLOOKUP($H286,'(backend scoring)'!$S$2:$S$333,'(backend scoring)'!$A$2:$A$333,"")</f>
      </c>
      <c r="J286" s="208">
        <f>IFERROR(VLOOKUP($I286,'Institution Evaluation'!$A$55:$F$345,2,0),IFERROR(VLOOKUP($I286,'Privacy Analyst Evaluation'!$A$46:$F$120,2,0),""))</f>
      </c>
      <c r="K286" s="208">
        <f>IFERROR(VLOOKUP($I286,'Institution Evaluation'!$A$55:$F$345,3,0),IFERROR(VLOOKUP($I286,'Privacy Analyst Evaluation'!$A$46:$F$120,3,0),""))&amp;""</f>
      </c>
      <c r="L286" s="208">
        <f>IFERROR(VLOOKUP($I286,'Institution Evaluation'!$A$55:$F$345,4,0),IFERROR(VLOOKUP($I286,'Privacy Analyst Evaluation'!$A$46:$F$120,4,0),""))&amp;""</f>
      </c>
      <c r="M286" s="208">
        <f>IFERROR(VLOOKUP($I286,'Institution Evaluation'!$A$55:$F$345,6,0),IFERROR(VLOOKUP($I286,'Privacy Analyst Evaluation'!$A$46:$F$120,6,0),""))&amp;""</f>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ht="17" x14ac:dyDescent="0.2">
      <c r="A287" s="208" t="str">
        <f>IFERROR(IF($A286+1&gt;'(backend scoring)'!$T$335,"",$A286+1),"")</f>
      </c>
      <c r="B287" s="208">
        <f>_xlfn.XLOOKUP($A287,'(backend scoring)'!$V$2:$V$333,'(backend scoring)'!$A$2:$A$333,"")</f>
      </c>
      <c r="C287" s="208">
        <f>IFERROR(VLOOKUP($B287,'Institution Evaluation'!$A$55:$F$345,2,0),IFERROR(VLOOKUP($B287,'Privacy Analyst Evaluation'!$A$46:$F$120,2,0),""))&amp;""</f>
      </c>
      <c r="D287" s="208">
        <f>IFERROR(VLOOKUP($B287,'Institution Evaluation'!$A$55:$F$345,3,0),IFERROR(VLOOKUP($B287,'Privacy Analyst Evaluation'!$A$46:$F$120,3,0),""))&amp;""</f>
      </c>
      <c r="E287" s="208">
        <f>IFERROR(VLOOKUP($B287,'Institution Evaluation'!$A$55:$F$345,4,0),IFERROR(VLOOKUP($B287,'Privacy Analyst Evaluation'!$A$46:$F$120,4,0),""))&amp;""</f>
      </c>
      <c r="F287" s="208">
        <f>IFERROR(VLOOKUP($B287,'Institution Evaluation'!$A$55:$F$345,6,0),IFERROR(VLOOKUP($B287,'Privacy Analyst Evaluation'!$A$46:$F$120,6,0),""))&amp;""</f>
      </c>
      <c r="G287" s="209"/>
      <c r="H287" s="208" t="str">
        <f>IFERROR(IF($H286+1&gt;'(backend scoring)'!$Q$335,"",$H286+1),"")</f>
      </c>
      <c r="I287" s="208">
        <f>_xlfn.XLOOKUP($H287,'(backend scoring)'!$S$2:$S$333,'(backend scoring)'!$A$2:$A$333,"")</f>
      </c>
      <c r="J287" s="208">
        <f>IFERROR(VLOOKUP($I287,'Institution Evaluation'!$A$55:$F$345,2,0),IFERROR(VLOOKUP($I287,'Privacy Analyst Evaluation'!$A$46:$F$120,2,0),""))</f>
      </c>
      <c r="K287" s="208">
        <f>IFERROR(VLOOKUP($I287,'Institution Evaluation'!$A$55:$F$345,3,0),IFERROR(VLOOKUP($I287,'Privacy Analyst Evaluation'!$A$46:$F$120,3,0),""))&amp;""</f>
      </c>
      <c r="L287" s="208">
        <f>IFERROR(VLOOKUP($I287,'Institution Evaluation'!$A$55:$F$345,4,0),IFERROR(VLOOKUP($I287,'Privacy Analyst Evaluation'!$A$46:$F$120,4,0),""))&amp;""</f>
      </c>
      <c r="M287" s="208">
        <f>IFERROR(VLOOKUP($I287,'Institution Evaluation'!$A$55:$F$345,6,0),IFERROR(VLOOKUP($I287,'Privacy Analyst Evaluation'!$A$46:$F$120,6,0),""))&amp;""</f>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ht="17" x14ac:dyDescent="0.2">
      <c r="A288" s="208" t="str">
        <f>IFERROR(IF($A287+1&gt;'(backend scoring)'!$T$335,"",$A287+1),"")</f>
      </c>
      <c r="B288" s="208">
        <f>_xlfn.XLOOKUP($A288,'(backend scoring)'!$V$2:$V$333,'(backend scoring)'!$A$2:$A$333,"")</f>
      </c>
      <c r="C288" s="208">
        <f>IFERROR(VLOOKUP($B288,'Institution Evaluation'!$A$55:$F$345,2,0),IFERROR(VLOOKUP($B288,'Privacy Analyst Evaluation'!$A$46:$F$120,2,0),""))&amp;""</f>
      </c>
      <c r="D288" s="208">
        <f>IFERROR(VLOOKUP($B288,'Institution Evaluation'!$A$55:$F$345,3,0),IFERROR(VLOOKUP($B288,'Privacy Analyst Evaluation'!$A$46:$F$120,3,0),""))&amp;""</f>
      </c>
      <c r="E288" s="208">
        <f>IFERROR(VLOOKUP($B288,'Institution Evaluation'!$A$55:$F$345,4,0),IFERROR(VLOOKUP($B288,'Privacy Analyst Evaluation'!$A$46:$F$120,4,0),""))&amp;""</f>
      </c>
      <c r="F288" s="208">
        <f>IFERROR(VLOOKUP($B288,'Institution Evaluation'!$A$55:$F$345,6,0),IFERROR(VLOOKUP($B288,'Privacy Analyst Evaluation'!$A$46:$F$120,6,0),""))&amp;""</f>
      </c>
      <c r="G288" s="209"/>
      <c r="H288" s="208" t="str">
        <f>IFERROR(IF($H287+1&gt;'(backend scoring)'!$Q$335,"",$H287+1),"")</f>
      </c>
      <c r="I288" s="208">
        <f>_xlfn.XLOOKUP($H288,'(backend scoring)'!$S$2:$S$333,'(backend scoring)'!$A$2:$A$333,"")</f>
      </c>
      <c r="J288" s="208">
        <f>IFERROR(VLOOKUP($I288,'Institution Evaluation'!$A$55:$F$345,2,0),IFERROR(VLOOKUP($I288,'Privacy Analyst Evaluation'!$A$46:$F$120,2,0),""))</f>
      </c>
      <c r="K288" s="208">
        <f>IFERROR(VLOOKUP($I288,'Institution Evaluation'!$A$55:$F$345,3,0),IFERROR(VLOOKUP($I288,'Privacy Analyst Evaluation'!$A$46:$F$120,3,0),""))&amp;""</f>
      </c>
      <c r="L288" s="208">
        <f>IFERROR(VLOOKUP($I288,'Institution Evaluation'!$A$55:$F$345,4,0),IFERROR(VLOOKUP($I288,'Privacy Analyst Evaluation'!$A$46:$F$120,4,0),""))&amp;""</f>
      </c>
      <c r="M288" s="208">
        <f>IFERROR(VLOOKUP($I288,'Institution Evaluation'!$A$55:$F$345,6,0),IFERROR(VLOOKUP($I288,'Privacy Analyst Evaluation'!$A$46:$F$120,6,0),""))&amp;""</f>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ht="17" x14ac:dyDescent="0.2">
      <c r="A289" s="208" t="str">
        <f>IFERROR(IF($A288+1&gt;'(backend scoring)'!$T$335,"",$A288+1),"")</f>
      </c>
      <c r="B289" s="208">
        <f>_xlfn.XLOOKUP($A289,'(backend scoring)'!$V$2:$V$333,'(backend scoring)'!$A$2:$A$333,"")</f>
      </c>
      <c r="C289" s="208">
        <f>IFERROR(VLOOKUP($B289,'Institution Evaluation'!$A$55:$F$345,2,0),IFERROR(VLOOKUP($B289,'Privacy Analyst Evaluation'!$A$46:$F$120,2,0),""))&amp;""</f>
      </c>
      <c r="D289" s="208">
        <f>IFERROR(VLOOKUP($B289,'Institution Evaluation'!$A$55:$F$345,3,0),IFERROR(VLOOKUP($B289,'Privacy Analyst Evaluation'!$A$46:$F$120,3,0),""))&amp;""</f>
      </c>
      <c r="E289" s="208">
        <f>IFERROR(VLOOKUP($B289,'Institution Evaluation'!$A$55:$F$345,4,0),IFERROR(VLOOKUP($B289,'Privacy Analyst Evaluation'!$A$46:$F$120,4,0),""))&amp;""</f>
      </c>
      <c r="F289" s="208">
        <f>IFERROR(VLOOKUP($B289,'Institution Evaluation'!$A$55:$F$345,6,0),IFERROR(VLOOKUP($B289,'Privacy Analyst Evaluation'!$A$46:$F$120,6,0),""))&amp;""</f>
      </c>
      <c r="G289" s="209"/>
      <c r="H289" s="208" t="str">
        <f>IFERROR(IF($H288+1&gt;'(backend scoring)'!$Q$335,"",$H288+1),"")</f>
      </c>
      <c r="I289" s="208">
        <f>_xlfn.XLOOKUP($H289,'(backend scoring)'!$S$2:$S$333,'(backend scoring)'!$A$2:$A$333,"")</f>
      </c>
      <c r="J289" s="208">
        <f>IFERROR(VLOOKUP($I289,'Institution Evaluation'!$A$55:$F$345,2,0),IFERROR(VLOOKUP($I289,'Privacy Analyst Evaluation'!$A$46:$F$120,2,0),""))</f>
      </c>
      <c r="K289" s="208">
        <f>IFERROR(VLOOKUP($I289,'Institution Evaluation'!$A$55:$F$345,3,0),IFERROR(VLOOKUP($I289,'Privacy Analyst Evaluation'!$A$46:$F$120,3,0),""))&amp;""</f>
      </c>
      <c r="L289" s="208">
        <f>IFERROR(VLOOKUP($I289,'Institution Evaluation'!$A$55:$F$345,4,0),IFERROR(VLOOKUP($I289,'Privacy Analyst Evaluation'!$A$46:$F$120,4,0),""))&amp;""</f>
      </c>
      <c r="M289" s="208">
        <f>IFERROR(VLOOKUP($I289,'Institution Evaluation'!$A$55:$F$345,6,0),IFERROR(VLOOKUP($I289,'Privacy Analyst Evaluation'!$A$46:$F$120,6,0),""))&amp;""</f>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ht="17" x14ac:dyDescent="0.2">
      <c r="A290" s="208" t="str">
        <f>IFERROR(IF($A289+1&gt;'(backend scoring)'!$T$335,"",$A289+1),"")</f>
      </c>
      <c r="B290" s="208">
        <f>_xlfn.XLOOKUP($A290,'(backend scoring)'!$V$2:$V$333,'(backend scoring)'!$A$2:$A$333,"")</f>
      </c>
      <c r="C290" s="208">
        <f>IFERROR(VLOOKUP($B290,'Institution Evaluation'!$A$55:$F$345,2,0),IFERROR(VLOOKUP($B290,'Privacy Analyst Evaluation'!$A$46:$F$120,2,0),""))&amp;""</f>
      </c>
      <c r="D290" s="208">
        <f>IFERROR(VLOOKUP($B290,'Institution Evaluation'!$A$55:$F$345,3,0),IFERROR(VLOOKUP($B290,'Privacy Analyst Evaluation'!$A$46:$F$120,3,0),""))&amp;""</f>
      </c>
      <c r="E290" s="208">
        <f>IFERROR(VLOOKUP($B290,'Institution Evaluation'!$A$55:$F$345,4,0),IFERROR(VLOOKUP($B290,'Privacy Analyst Evaluation'!$A$46:$F$120,4,0),""))&amp;""</f>
      </c>
      <c r="F290" s="208">
        <f>IFERROR(VLOOKUP($B290,'Institution Evaluation'!$A$55:$F$345,6,0),IFERROR(VLOOKUP($B290,'Privacy Analyst Evaluation'!$A$46:$F$120,6,0),""))&amp;""</f>
      </c>
      <c r="G290" s="209"/>
      <c r="H290" s="208" t="str">
        <f>IFERROR(IF($H289+1&gt;'(backend scoring)'!$Q$335,"",$H289+1),"")</f>
      </c>
      <c r="I290" s="208">
        <f>_xlfn.XLOOKUP($H290,'(backend scoring)'!$S$2:$S$333,'(backend scoring)'!$A$2:$A$333,"")</f>
      </c>
      <c r="J290" s="208">
        <f>IFERROR(VLOOKUP($I290,'Institution Evaluation'!$A$55:$F$345,2,0),IFERROR(VLOOKUP($I290,'Privacy Analyst Evaluation'!$A$46:$F$120,2,0),""))</f>
      </c>
      <c r="K290" s="208">
        <f>IFERROR(VLOOKUP($I290,'Institution Evaluation'!$A$55:$F$345,3,0),IFERROR(VLOOKUP($I290,'Privacy Analyst Evaluation'!$A$46:$F$120,3,0),""))&amp;""</f>
      </c>
      <c r="L290" s="208">
        <f>IFERROR(VLOOKUP($I290,'Institution Evaluation'!$A$55:$F$345,4,0),IFERROR(VLOOKUP($I290,'Privacy Analyst Evaluation'!$A$46:$F$120,4,0),""))&amp;""</f>
      </c>
      <c r="M290" s="208">
        <f>IFERROR(VLOOKUP($I290,'Institution Evaluation'!$A$55:$F$345,6,0),IFERROR(VLOOKUP($I290,'Privacy Analyst Evaluation'!$A$46:$F$120,6,0),""))&amp;""</f>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ht="17" x14ac:dyDescent="0.2">
      <c r="A291" s="208" t="str">
        <f>IFERROR(IF($A290+1&gt;'(backend scoring)'!$T$335,"",$A290+1),"")</f>
      </c>
      <c r="B291" s="208">
        <f>_xlfn.XLOOKUP($A291,'(backend scoring)'!$V$2:$V$333,'(backend scoring)'!$A$2:$A$333,"")</f>
      </c>
      <c r="C291" s="208">
        <f>IFERROR(VLOOKUP($B291,'Institution Evaluation'!$A$55:$F$345,2,0),IFERROR(VLOOKUP($B291,'Privacy Analyst Evaluation'!$A$46:$F$120,2,0),""))&amp;""</f>
      </c>
      <c r="D291" s="208">
        <f>IFERROR(VLOOKUP($B291,'Institution Evaluation'!$A$55:$F$345,3,0),IFERROR(VLOOKUP($B291,'Privacy Analyst Evaluation'!$A$46:$F$120,3,0),""))&amp;""</f>
      </c>
      <c r="E291" s="208">
        <f>IFERROR(VLOOKUP($B291,'Institution Evaluation'!$A$55:$F$345,4,0),IFERROR(VLOOKUP($B291,'Privacy Analyst Evaluation'!$A$46:$F$120,4,0),""))&amp;""</f>
      </c>
      <c r="F291" s="208">
        <f>IFERROR(VLOOKUP($B291,'Institution Evaluation'!$A$55:$F$345,6,0),IFERROR(VLOOKUP($B291,'Privacy Analyst Evaluation'!$A$46:$F$120,6,0),""))&amp;""</f>
      </c>
      <c r="G291" s="209"/>
      <c r="H291" s="208" t="str">
        <f>IFERROR(IF($H290+1&gt;'(backend scoring)'!$Q$335,"",$H290+1),"")</f>
      </c>
      <c r="I291" s="208">
        <f>_xlfn.XLOOKUP($H291,'(backend scoring)'!$S$2:$S$333,'(backend scoring)'!$A$2:$A$333,"")</f>
      </c>
      <c r="J291" s="208">
        <f>IFERROR(VLOOKUP($I291,'Institution Evaluation'!$A$55:$F$345,2,0),IFERROR(VLOOKUP($I291,'Privacy Analyst Evaluation'!$A$46:$F$120,2,0),""))</f>
      </c>
      <c r="K291" s="208">
        <f>IFERROR(VLOOKUP($I291,'Institution Evaluation'!$A$55:$F$345,3,0),IFERROR(VLOOKUP($I291,'Privacy Analyst Evaluation'!$A$46:$F$120,3,0),""))&amp;""</f>
      </c>
      <c r="L291" s="208">
        <f>IFERROR(VLOOKUP($I291,'Institution Evaluation'!$A$55:$F$345,4,0),IFERROR(VLOOKUP($I291,'Privacy Analyst Evaluation'!$A$46:$F$120,4,0),""))&amp;""</f>
      </c>
      <c r="M291" s="208">
        <f>IFERROR(VLOOKUP($I291,'Institution Evaluation'!$A$55:$F$345,6,0),IFERROR(VLOOKUP($I291,'Privacy Analyst Evaluation'!$A$46:$F$120,6,0),""))&amp;""</f>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ht="17" x14ac:dyDescent="0.2">
      <c r="A292" s="208" t="str">
        <f>IFERROR(IF($A291+1&gt;'(backend scoring)'!$T$335,"",$A291+1),"")</f>
      </c>
      <c r="B292" s="208">
        <f>_xlfn.XLOOKUP($A292,'(backend scoring)'!$V$2:$V$333,'(backend scoring)'!$A$2:$A$333,"")</f>
      </c>
      <c r="C292" s="208">
        <f>IFERROR(VLOOKUP($B292,'Institution Evaluation'!$A$55:$F$345,2,0),IFERROR(VLOOKUP($B292,'Privacy Analyst Evaluation'!$A$46:$F$120,2,0),""))&amp;""</f>
      </c>
      <c r="D292" s="208">
        <f>IFERROR(VLOOKUP($B292,'Institution Evaluation'!$A$55:$F$345,3,0),IFERROR(VLOOKUP($B292,'Privacy Analyst Evaluation'!$A$46:$F$120,3,0),""))&amp;""</f>
      </c>
      <c r="E292" s="208">
        <f>IFERROR(VLOOKUP($B292,'Institution Evaluation'!$A$55:$F$345,4,0),IFERROR(VLOOKUP($B292,'Privacy Analyst Evaluation'!$A$46:$F$120,4,0),""))&amp;""</f>
      </c>
      <c r="F292" s="208">
        <f>IFERROR(VLOOKUP($B292,'Institution Evaluation'!$A$55:$F$345,6,0),IFERROR(VLOOKUP($B292,'Privacy Analyst Evaluation'!$A$46:$F$120,6,0),""))&amp;""</f>
      </c>
      <c r="G292" s="209"/>
      <c r="H292" s="208" t="str">
        <f>IFERROR(IF($H291+1&gt;'(backend scoring)'!$Q$335,"",$H291+1),"")</f>
      </c>
      <c r="I292" s="208">
        <f>_xlfn.XLOOKUP($H292,'(backend scoring)'!$S$2:$S$333,'(backend scoring)'!$A$2:$A$333,"")</f>
      </c>
      <c r="J292" s="208">
        <f>IFERROR(VLOOKUP($I292,'Institution Evaluation'!$A$55:$F$345,2,0),IFERROR(VLOOKUP($I292,'Privacy Analyst Evaluation'!$A$46:$F$120,2,0),""))</f>
      </c>
      <c r="K292" s="208">
        <f>IFERROR(VLOOKUP($I292,'Institution Evaluation'!$A$55:$F$345,3,0),IFERROR(VLOOKUP($I292,'Privacy Analyst Evaluation'!$A$46:$F$120,3,0),""))&amp;""</f>
      </c>
      <c r="L292" s="208">
        <f>IFERROR(VLOOKUP($I292,'Institution Evaluation'!$A$55:$F$345,4,0),IFERROR(VLOOKUP($I292,'Privacy Analyst Evaluation'!$A$46:$F$120,4,0),""))&amp;""</f>
      </c>
      <c r="M292" s="208">
        <f>IFERROR(VLOOKUP($I292,'Institution Evaluation'!$A$55:$F$345,6,0),IFERROR(VLOOKUP($I292,'Privacy Analyst Evaluation'!$A$46:$F$120,6,0),""))&amp;""</f>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ht="17" x14ac:dyDescent="0.2">
      <c r="A293" s="208" t="str">
        <f>IFERROR(IF($A292+1&gt;'(backend scoring)'!$T$335,"",$A292+1),"")</f>
      </c>
      <c r="B293" s="208">
        <f>_xlfn.XLOOKUP($A293,'(backend scoring)'!$V$2:$V$333,'(backend scoring)'!$A$2:$A$333,"")</f>
      </c>
      <c r="C293" s="208">
        <f>IFERROR(VLOOKUP($B293,'Institution Evaluation'!$A$55:$F$345,2,0),IFERROR(VLOOKUP($B293,'Privacy Analyst Evaluation'!$A$46:$F$120,2,0),""))&amp;""</f>
      </c>
      <c r="D293" s="208">
        <f>IFERROR(VLOOKUP($B293,'Institution Evaluation'!$A$55:$F$345,3,0),IFERROR(VLOOKUP($B293,'Privacy Analyst Evaluation'!$A$46:$F$120,3,0),""))&amp;""</f>
      </c>
      <c r="E293" s="208">
        <f>IFERROR(VLOOKUP($B293,'Institution Evaluation'!$A$55:$F$345,4,0),IFERROR(VLOOKUP($B293,'Privacy Analyst Evaluation'!$A$46:$F$120,4,0),""))&amp;""</f>
      </c>
      <c r="F293" s="208">
        <f>IFERROR(VLOOKUP($B293,'Institution Evaluation'!$A$55:$F$345,6,0),IFERROR(VLOOKUP($B293,'Privacy Analyst Evaluation'!$A$46:$F$120,6,0),""))&amp;""</f>
      </c>
      <c r="G293" s="209"/>
      <c r="H293" s="208" t="str">
        <f>IFERROR(IF($H292+1&gt;'(backend scoring)'!$Q$335,"",$H292+1),"")</f>
      </c>
      <c r="I293" s="208">
        <f>_xlfn.XLOOKUP($H293,'(backend scoring)'!$S$2:$S$333,'(backend scoring)'!$A$2:$A$333,"")</f>
      </c>
      <c r="J293" s="208">
        <f>IFERROR(VLOOKUP($I293,'Institution Evaluation'!$A$55:$F$345,2,0),IFERROR(VLOOKUP($I293,'Privacy Analyst Evaluation'!$A$46:$F$120,2,0),""))</f>
      </c>
      <c r="K293" s="208">
        <f>IFERROR(VLOOKUP($I293,'Institution Evaluation'!$A$55:$F$345,3,0),IFERROR(VLOOKUP($I293,'Privacy Analyst Evaluation'!$A$46:$F$120,3,0),""))&amp;""</f>
      </c>
      <c r="L293" s="208">
        <f>IFERROR(VLOOKUP($I293,'Institution Evaluation'!$A$55:$F$345,4,0),IFERROR(VLOOKUP($I293,'Privacy Analyst Evaluation'!$A$46:$F$120,4,0),""))&amp;""</f>
      </c>
      <c r="M293" s="208">
        <f>IFERROR(VLOOKUP($I293,'Institution Evaluation'!$A$55:$F$345,6,0),IFERROR(VLOOKUP($I293,'Privacy Analyst Evaluation'!$A$46:$F$120,6,0),""))&amp;""</f>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ht="17" x14ac:dyDescent="0.2">
      <c r="A294" s="208" t="str">
        <f>IFERROR(IF($A293+1&gt;'(backend scoring)'!$T$335,"",$A293+1),"")</f>
      </c>
      <c r="B294" s="208">
        <f>_xlfn.XLOOKUP($A294,'(backend scoring)'!$V$2:$V$333,'(backend scoring)'!$A$2:$A$333,"")</f>
      </c>
      <c r="C294" s="208">
        <f>IFERROR(VLOOKUP($B294,'Institution Evaluation'!$A$55:$F$345,2,0),IFERROR(VLOOKUP($B294,'Privacy Analyst Evaluation'!$A$46:$F$120,2,0),""))&amp;""</f>
      </c>
      <c r="D294" s="208">
        <f>IFERROR(VLOOKUP($B294,'Institution Evaluation'!$A$55:$F$345,3,0),IFERROR(VLOOKUP($B294,'Privacy Analyst Evaluation'!$A$46:$F$120,3,0),""))&amp;""</f>
      </c>
      <c r="E294" s="208">
        <f>IFERROR(VLOOKUP($B294,'Institution Evaluation'!$A$55:$F$345,4,0),IFERROR(VLOOKUP($B294,'Privacy Analyst Evaluation'!$A$46:$F$120,4,0),""))&amp;""</f>
      </c>
      <c r="F294" s="208">
        <f>IFERROR(VLOOKUP($B294,'Institution Evaluation'!$A$55:$F$345,6,0),IFERROR(VLOOKUP($B294,'Privacy Analyst Evaluation'!$A$46:$F$120,6,0),""))&amp;""</f>
      </c>
      <c r="G294" s="209"/>
      <c r="H294" s="208" t="str">
        <f>IFERROR(IF($H293+1&gt;'(backend scoring)'!$Q$335,"",$H293+1),"")</f>
      </c>
      <c r="I294" s="208">
        <f>_xlfn.XLOOKUP($H294,'(backend scoring)'!$S$2:$S$333,'(backend scoring)'!$A$2:$A$333,"")</f>
      </c>
      <c r="J294" s="208">
        <f>IFERROR(VLOOKUP($I294,'Institution Evaluation'!$A$55:$F$345,2,0),IFERROR(VLOOKUP($I294,'Privacy Analyst Evaluation'!$A$46:$F$120,2,0),""))</f>
      </c>
      <c r="K294" s="208">
        <f>IFERROR(VLOOKUP($I294,'Institution Evaluation'!$A$55:$F$345,3,0),IFERROR(VLOOKUP($I294,'Privacy Analyst Evaluation'!$A$46:$F$120,3,0),""))&amp;""</f>
      </c>
      <c r="L294" s="208">
        <f>IFERROR(VLOOKUP($I294,'Institution Evaluation'!$A$55:$F$345,4,0),IFERROR(VLOOKUP($I294,'Privacy Analyst Evaluation'!$A$46:$F$120,4,0),""))&amp;""</f>
      </c>
      <c r="M294" s="208">
        <f>IFERROR(VLOOKUP($I294,'Institution Evaluation'!$A$55:$F$345,6,0),IFERROR(VLOOKUP($I294,'Privacy Analyst Evaluation'!$A$46:$F$120,6,0),""))&amp;""</f>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ht="17" x14ac:dyDescent="0.2">
      <c r="A295" s="208" t="str">
        <f>IFERROR(IF($A294+1&gt;'(backend scoring)'!$T$335,"",$A294+1),"")</f>
      </c>
      <c r="B295" s="208">
        <f>_xlfn.XLOOKUP($A295,'(backend scoring)'!$V$2:$V$333,'(backend scoring)'!$A$2:$A$333,"")</f>
      </c>
      <c r="C295" s="208">
        <f>IFERROR(VLOOKUP($B295,'Institution Evaluation'!$A$55:$F$345,2,0),IFERROR(VLOOKUP($B295,'Privacy Analyst Evaluation'!$A$46:$F$120,2,0),""))&amp;""</f>
      </c>
      <c r="D295" s="208">
        <f>IFERROR(VLOOKUP($B295,'Institution Evaluation'!$A$55:$F$345,3,0),IFERROR(VLOOKUP($B295,'Privacy Analyst Evaluation'!$A$46:$F$120,3,0),""))&amp;""</f>
      </c>
      <c r="E295" s="208">
        <f>IFERROR(VLOOKUP($B295,'Institution Evaluation'!$A$55:$F$345,4,0),IFERROR(VLOOKUP($B295,'Privacy Analyst Evaluation'!$A$46:$F$120,4,0),""))&amp;""</f>
      </c>
      <c r="F295" s="208">
        <f>IFERROR(VLOOKUP($B295,'Institution Evaluation'!$A$55:$F$345,6,0),IFERROR(VLOOKUP($B295,'Privacy Analyst Evaluation'!$A$46:$F$120,6,0),""))&amp;""</f>
      </c>
      <c r="G295" s="209"/>
      <c r="H295" s="208" t="str">
        <f>IFERROR(IF($H294+1&gt;'(backend scoring)'!$Q$335,"",$H294+1),"")</f>
      </c>
      <c r="I295" s="208">
        <f>_xlfn.XLOOKUP($H295,'(backend scoring)'!$S$2:$S$333,'(backend scoring)'!$A$2:$A$333,"")</f>
      </c>
      <c r="J295" s="208">
        <f>IFERROR(VLOOKUP($I295,'Institution Evaluation'!$A$55:$F$345,2,0),IFERROR(VLOOKUP($I295,'Privacy Analyst Evaluation'!$A$46:$F$120,2,0),""))</f>
      </c>
      <c r="K295" s="208">
        <f>IFERROR(VLOOKUP($I295,'Institution Evaluation'!$A$55:$F$345,3,0),IFERROR(VLOOKUP($I295,'Privacy Analyst Evaluation'!$A$46:$F$120,3,0),""))&amp;""</f>
      </c>
      <c r="L295" s="208">
        <f>IFERROR(VLOOKUP($I295,'Institution Evaluation'!$A$55:$F$345,4,0),IFERROR(VLOOKUP($I295,'Privacy Analyst Evaluation'!$A$46:$F$120,4,0),""))&amp;""</f>
      </c>
      <c r="M295" s="208">
        <f>IFERROR(VLOOKUP($I295,'Institution Evaluation'!$A$55:$F$345,6,0),IFERROR(VLOOKUP($I295,'Privacy Analyst Evaluation'!$A$46:$F$120,6,0),""))&amp;""</f>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ht="17" x14ac:dyDescent="0.2">
      <c r="A296" s="208" t="str">
        <f>IFERROR(IF($A295+1&gt;'(backend scoring)'!$T$335,"",$A295+1),"")</f>
      </c>
      <c r="B296" s="208">
        <f>_xlfn.XLOOKUP($A296,'(backend scoring)'!$V$2:$V$333,'(backend scoring)'!$A$2:$A$333,"")</f>
      </c>
      <c r="C296" s="208">
        <f>IFERROR(VLOOKUP($B296,'Institution Evaluation'!$A$55:$F$345,2,0),IFERROR(VLOOKUP($B296,'Privacy Analyst Evaluation'!$A$46:$F$120,2,0),""))&amp;""</f>
      </c>
      <c r="D296" s="208">
        <f>IFERROR(VLOOKUP($B296,'Institution Evaluation'!$A$55:$F$345,3,0),IFERROR(VLOOKUP($B296,'Privacy Analyst Evaluation'!$A$46:$F$120,3,0),""))&amp;""</f>
      </c>
      <c r="E296" s="208">
        <f>IFERROR(VLOOKUP($B296,'Institution Evaluation'!$A$55:$F$345,4,0),IFERROR(VLOOKUP($B296,'Privacy Analyst Evaluation'!$A$46:$F$120,4,0),""))&amp;""</f>
      </c>
      <c r="F296" s="208">
        <f>IFERROR(VLOOKUP($B296,'Institution Evaluation'!$A$55:$F$345,6,0),IFERROR(VLOOKUP($B296,'Privacy Analyst Evaluation'!$A$46:$F$120,6,0),""))&amp;""</f>
      </c>
      <c r="G296" s="209"/>
      <c r="H296" s="208" t="str">
        <f>IFERROR(IF($H295+1&gt;'(backend scoring)'!$Q$335,"",$H295+1),"")</f>
      </c>
      <c r="I296" s="208">
        <f>_xlfn.XLOOKUP($H296,'(backend scoring)'!$S$2:$S$333,'(backend scoring)'!$A$2:$A$333,"")</f>
      </c>
      <c r="J296" s="208">
        <f>IFERROR(VLOOKUP($I296,'Institution Evaluation'!$A$55:$F$345,2,0),IFERROR(VLOOKUP($I296,'Privacy Analyst Evaluation'!$A$46:$F$120,2,0),""))</f>
      </c>
      <c r="K296" s="208">
        <f>IFERROR(VLOOKUP($I296,'Institution Evaluation'!$A$55:$F$345,3,0),IFERROR(VLOOKUP($I296,'Privacy Analyst Evaluation'!$A$46:$F$120,3,0),""))&amp;""</f>
      </c>
      <c r="L296" s="208">
        <f>IFERROR(VLOOKUP($I296,'Institution Evaluation'!$A$55:$F$345,4,0),IFERROR(VLOOKUP($I296,'Privacy Analyst Evaluation'!$A$46:$F$120,4,0),""))&amp;""</f>
      </c>
      <c r="M296" s="208">
        <f>IFERROR(VLOOKUP($I296,'Institution Evaluation'!$A$55:$F$345,6,0),IFERROR(VLOOKUP($I296,'Privacy Analyst Evaluation'!$A$46:$F$120,6,0),""))&amp;""</f>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ht="17" x14ac:dyDescent="0.2">
      <c r="A297" s="208" t="str">
        <f>IFERROR(IF($A296+1&gt;'(backend scoring)'!$T$335,"",$A296+1),"")</f>
      </c>
      <c r="B297" s="208">
        <f>_xlfn.XLOOKUP($A297,'(backend scoring)'!$V$2:$V$333,'(backend scoring)'!$A$2:$A$333,"")</f>
      </c>
      <c r="C297" s="208">
        <f>IFERROR(VLOOKUP($B297,'Institution Evaluation'!$A$55:$F$345,2,0),IFERROR(VLOOKUP($B297,'Privacy Analyst Evaluation'!$A$46:$F$120,2,0),""))&amp;""</f>
      </c>
      <c r="D297" s="208">
        <f>IFERROR(VLOOKUP($B297,'Institution Evaluation'!$A$55:$F$345,3,0),IFERROR(VLOOKUP($B297,'Privacy Analyst Evaluation'!$A$46:$F$120,3,0),""))&amp;""</f>
      </c>
      <c r="E297" s="208">
        <f>IFERROR(VLOOKUP($B297,'Institution Evaluation'!$A$55:$F$345,4,0),IFERROR(VLOOKUP($B297,'Privacy Analyst Evaluation'!$A$46:$F$120,4,0),""))&amp;""</f>
      </c>
      <c r="F297" s="208">
        <f>IFERROR(VLOOKUP($B297,'Institution Evaluation'!$A$55:$F$345,6,0),IFERROR(VLOOKUP($B297,'Privacy Analyst Evaluation'!$A$46:$F$120,6,0),""))&amp;""</f>
      </c>
      <c r="G297" s="209"/>
      <c r="H297" s="208" t="str">
        <f>IFERROR(IF($H296+1&gt;'(backend scoring)'!$Q$335,"",$H296+1),"")</f>
      </c>
      <c r="I297" s="208">
        <f>_xlfn.XLOOKUP($H297,'(backend scoring)'!$S$2:$S$333,'(backend scoring)'!$A$2:$A$333,"")</f>
      </c>
      <c r="J297" s="208">
        <f>IFERROR(VLOOKUP($I297,'Institution Evaluation'!$A$55:$F$345,2,0),IFERROR(VLOOKUP($I297,'Privacy Analyst Evaluation'!$A$46:$F$120,2,0),""))</f>
      </c>
      <c r="K297" s="208">
        <f>IFERROR(VLOOKUP($I297,'Institution Evaluation'!$A$55:$F$345,3,0),IFERROR(VLOOKUP($I297,'Privacy Analyst Evaluation'!$A$46:$F$120,3,0),""))&amp;""</f>
      </c>
      <c r="L297" s="208">
        <f>IFERROR(VLOOKUP($I297,'Institution Evaluation'!$A$55:$F$345,4,0),IFERROR(VLOOKUP($I297,'Privacy Analyst Evaluation'!$A$46:$F$120,4,0),""))&amp;""</f>
      </c>
      <c r="M297" s="208">
        <f>IFERROR(VLOOKUP($I297,'Institution Evaluation'!$A$55:$F$345,6,0),IFERROR(VLOOKUP($I297,'Privacy Analyst Evaluation'!$A$46:$F$120,6,0),""))&amp;""</f>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ht="17" x14ac:dyDescent="0.2">
      <c r="A298" s="208" t="str">
        <f>IFERROR(IF($A297+1&gt;'(backend scoring)'!$T$335,"",$A297+1),"")</f>
      </c>
      <c r="B298" s="208">
        <f>_xlfn.XLOOKUP($A298,'(backend scoring)'!$V$2:$V$333,'(backend scoring)'!$A$2:$A$333,"")</f>
      </c>
      <c r="C298" s="208">
        <f>IFERROR(VLOOKUP($B298,'Institution Evaluation'!$A$55:$F$345,2,0),IFERROR(VLOOKUP($B298,'Privacy Analyst Evaluation'!$A$46:$F$120,2,0),""))&amp;""</f>
      </c>
      <c r="D298" s="208">
        <f>IFERROR(VLOOKUP($B298,'Institution Evaluation'!$A$55:$F$345,3,0),IFERROR(VLOOKUP($B298,'Privacy Analyst Evaluation'!$A$46:$F$120,3,0),""))&amp;""</f>
      </c>
      <c r="E298" s="208">
        <f>IFERROR(VLOOKUP($B298,'Institution Evaluation'!$A$55:$F$345,4,0),IFERROR(VLOOKUP($B298,'Privacy Analyst Evaluation'!$A$46:$F$120,4,0),""))&amp;""</f>
      </c>
      <c r="F298" s="208">
        <f>IFERROR(VLOOKUP($B298,'Institution Evaluation'!$A$55:$F$345,6,0),IFERROR(VLOOKUP($B298,'Privacy Analyst Evaluation'!$A$46:$F$120,6,0),""))&amp;""</f>
      </c>
      <c r="G298" s="209"/>
      <c r="H298" s="208" t="str">
        <f>IFERROR(IF($H297+1&gt;'(backend scoring)'!$Q$335,"",$H297+1),"")</f>
      </c>
      <c r="I298" s="208">
        <f>_xlfn.XLOOKUP($H298,'(backend scoring)'!$S$2:$S$333,'(backend scoring)'!$A$2:$A$333,"")</f>
      </c>
      <c r="J298" s="208">
        <f>IFERROR(VLOOKUP($I298,'Institution Evaluation'!$A$55:$F$345,2,0),IFERROR(VLOOKUP($I298,'Privacy Analyst Evaluation'!$A$46:$F$120,2,0),""))</f>
      </c>
      <c r="K298" s="208">
        <f>IFERROR(VLOOKUP($I298,'Institution Evaluation'!$A$55:$F$345,3,0),IFERROR(VLOOKUP($I298,'Privacy Analyst Evaluation'!$A$46:$F$120,3,0),""))&amp;""</f>
      </c>
      <c r="L298" s="208">
        <f>IFERROR(VLOOKUP($I298,'Institution Evaluation'!$A$55:$F$345,4,0),IFERROR(VLOOKUP($I298,'Privacy Analyst Evaluation'!$A$46:$F$120,4,0),""))&amp;""</f>
      </c>
      <c r="M298" s="208">
        <f>IFERROR(VLOOKUP($I298,'Institution Evaluation'!$A$55:$F$345,6,0),IFERROR(VLOOKUP($I298,'Privacy Analyst Evaluation'!$A$46:$F$120,6,0),""))&amp;""</f>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ht="17" x14ac:dyDescent="0.2">
      <c r="A299" s="208" t="str">
        <f>IFERROR(IF($A298+1&gt;'(backend scoring)'!$T$335,"",$A298+1),"")</f>
      </c>
      <c r="B299" s="208">
        <f>_xlfn.XLOOKUP($A299,'(backend scoring)'!$V$2:$V$333,'(backend scoring)'!$A$2:$A$333,"")</f>
      </c>
      <c r="C299" s="208">
        <f>IFERROR(VLOOKUP($B299,'Institution Evaluation'!$A$55:$F$345,2,0),IFERROR(VLOOKUP($B299,'Privacy Analyst Evaluation'!$A$46:$F$120,2,0),""))&amp;""</f>
      </c>
      <c r="D299" s="208">
        <f>IFERROR(VLOOKUP($B299,'Institution Evaluation'!$A$55:$F$345,3,0),IFERROR(VLOOKUP($B299,'Privacy Analyst Evaluation'!$A$46:$F$120,3,0),""))&amp;""</f>
      </c>
      <c r="E299" s="208">
        <f>IFERROR(VLOOKUP($B299,'Institution Evaluation'!$A$55:$F$345,4,0),IFERROR(VLOOKUP($B299,'Privacy Analyst Evaluation'!$A$46:$F$120,4,0),""))&amp;""</f>
      </c>
      <c r="F299" s="208">
        <f>IFERROR(VLOOKUP($B299,'Institution Evaluation'!$A$55:$F$345,6,0),IFERROR(VLOOKUP($B299,'Privacy Analyst Evaluation'!$A$46:$F$120,6,0),""))&amp;""</f>
      </c>
      <c r="G299" s="209"/>
      <c r="H299" s="208" t="str">
        <f>IFERROR(IF($H298+1&gt;'(backend scoring)'!$Q$335,"",$H298+1),"")</f>
      </c>
      <c r="I299" s="208">
        <f>_xlfn.XLOOKUP($H299,'(backend scoring)'!$S$2:$S$333,'(backend scoring)'!$A$2:$A$333,"")</f>
      </c>
      <c r="J299" s="208">
        <f>IFERROR(VLOOKUP($I299,'Institution Evaluation'!$A$55:$F$345,2,0),IFERROR(VLOOKUP($I299,'Privacy Analyst Evaluation'!$A$46:$F$120,2,0),""))</f>
      </c>
      <c r="K299" s="208">
        <f>IFERROR(VLOOKUP($I299,'Institution Evaluation'!$A$55:$F$345,3,0),IFERROR(VLOOKUP($I299,'Privacy Analyst Evaluation'!$A$46:$F$120,3,0),""))&amp;""</f>
      </c>
      <c r="L299" s="208">
        <f>IFERROR(VLOOKUP($I299,'Institution Evaluation'!$A$55:$F$345,4,0),IFERROR(VLOOKUP($I299,'Privacy Analyst Evaluation'!$A$46:$F$120,4,0),""))&amp;""</f>
      </c>
      <c r="M299" s="208">
        <f>IFERROR(VLOOKUP($I299,'Institution Evaluation'!$A$55:$F$345,6,0),IFERROR(VLOOKUP($I299,'Privacy Analyst Evaluation'!$A$46:$F$120,6,0),""))&amp;""</f>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ht="17" x14ac:dyDescent="0.2">
      <c r="A300" s="208" t="str">
        <f>IFERROR(IF($A299+1&gt;'(backend scoring)'!$T$335,"",$A299+1),"")</f>
      </c>
      <c r="B300" s="208">
        <f>_xlfn.XLOOKUP($A300,'(backend scoring)'!$V$2:$V$333,'(backend scoring)'!$A$2:$A$333,"")</f>
      </c>
      <c r="C300" s="208">
        <f>IFERROR(VLOOKUP($B300,'Institution Evaluation'!$A$55:$F$345,2,0),IFERROR(VLOOKUP($B300,'Privacy Analyst Evaluation'!$A$46:$F$120,2,0),""))&amp;""</f>
      </c>
      <c r="D300" s="208">
        <f>IFERROR(VLOOKUP($B300,'Institution Evaluation'!$A$55:$F$345,3,0),IFERROR(VLOOKUP($B300,'Privacy Analyst Evaluation'!$A$46:$F$120,3,0),""))&amp;""</f>
      </c>
      <c r="E300" s="208">
        <f>IFERROR(VLOOKUP($B300,'Institution Evaluation'!$A$55:$F$345,4,0),IFERROR(VLOOKUP($B300,'Privacy Analyst Evaluation'!$A$46:$F$120,4,0),""))&amp;""</f>
      </c>
      <c r="F300" s="208">
        <f>IFERROR(VLOOKUP($B300,'Institution Evaluation'!$A$55:$F$345,6,0),IFERROR(VLOOKUP($B300,'Privacy Analyst Evaluation'!$A$46:$F$120,6,0),""))&amp;""</f>
      </c>
      <c r="G300" s="209"/>
      <c r="H300" s="208" t="str">
        <f>IFERROR(IF($H299+1&gt;'(backend scoring)'!$Q$335,"",$H299+1),"")</f>
      </c>
      <c r="I300" s="208">
        <f>_xlfn.XLOOKUP($H300,'(backend scoring)'!$S$2:$S$333,'(backend scoring)'!$A$2:$A$333,"")</f>
      </c>
      <c r="J300" s="208">
        <f>IFERROR(VLOOKUP($I300,'Institution Evaluation'!$A$55:$F$345,2,0),IFERROR(VLOOKUP($I300,'Privacy Analyst Evaluation'!$A$46:$F$120,2,0),""))</f>
      </c>
      <c r="K300" s="208">
        <f>IFERROR(VLOOKUP($I300,'Institution Evaluation'!$A$55:$F$345,3,0),IFERROR(VLOOKUP($I300,'Privacy Analyst Evaluation'!$A$46:$F$120,3,0),""))&amp;""</f>
      </c>
      <c r="L300" s="208">
        <f>IFERROR(VLOOKUP($I300,'Institution Evaluation'!$A$55:$F$345,4,0),IFERROR(VLOOKUP($I300,'Privacy Analyst Evaluation'!$A$46:$F$120,4,0),""))&amp;""</f>
      </c>
      <c r="M300" s="208">
        <f>IFERROR(VLOOKUP($I300,'Institution Evaluation'!$A$55:$F$345,6,0),IFERROR(VLOOKUP($I300,'Privacy Analyst Evaluation'!$A$46:$F$120,6,0),""))&amp;""</f>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ht="17" x14ac:dyDescent="0.2">
      <c r="A301" s="208" t="str">
        <f>IFERROR(IF($A300+1&gt;'(backend scoring)'!$T$335,"",$A300+1),"")</f>
      </c>
      <c r="B301" s="208">
        <f>_xlfn.XLOOKUP($A301,'(backend scoring)'!$V$2:$V$333,'(backend scoring)'!$A$2:$A$333,"")</f>
      </c>
      <c r="C301" s="208">
        <f>IFERROR(VLOOKUP($B301,'Institution Evaluation'!$A$55:$F$345,2,0),IFERROR(VLOOKUP($B301,'Privacy Analyst Evaluation'!$A$46:$F$120,2,0),""))&amp;""</f>
      </c>
      <c r="D301" s="208">
        <f>IFERROR(VLOOKUP($B301,'Institution Evaluation'!$A$55:$F$345,3,0),IFERROR(VLOOKUP($B301,'Privacy Analyst Evaluation'!$A$46:$F$120,3,0),""))&amp;""</f>
      </c>
      <c r="E301" s="208">
        <f>IFERROR(VLOOKUP($B301,'Institution Evaluation'!$A$55:$F$345,4,0),IFERROR(VLOOKUP($B301,'Privacy Analyst Evaluation'!$A$46:$F$120,4,0),""))&amp;""</f>
      </c>
      <c r="F301" s="208">
        <f>IFERROR(VLOOKUP($B301,'Institution Evaluation'!$A$55:$F$345,6,0),IFERROR(VLOOKUP($B301,'Privacy Analyst Evaluation'!$A$46:$F$120,6,0),""))&amp;""</f>
      </c>
      <c r="G301" s="209"/>
      <c r="H301" s="208" t="str">
        <f>IFERROR(IF($H300+1&gt;'(backend scoring)'!$Q$335,"",$H300+1),"")</f>
      </c>
      <c r="I301" s="208">
        <f>_xlfn.XLOOKUP($H301,'(backend scoring)'!$S$2:$S$333,'(backend scoring)'!$A$2:$A$333,"")</f>
      </c>
      <c r="J301" s="208">
        <f>IFERROR(VLOOKUP($I301,'Institution Evaluation'!$A$55:$F$345,2,0),IFERROR(VLOOKUP($I301,'Privacy Analyst Evaluation'!$A$46:$F$120,2,0),""))</f>
      </c>
      <c r="K301" s="208">
        <f>IFERROR(VLOOKUP($I301,'Institution Evaluation'!$A$55:$F$345,3,0),IFERROR(VLOOKUP($I301,'Privacy Analyst Evaluation'!$A$46:$F$120,3,0),""))&amp;""</f>
      </c>
      <c r="L301" s="208">
        <f>IFERROR(VLOOKUP($I301,'Institution Evaluation'!$A$55:$F$345,4,0),IFERROR(VLOOKUP($I301,'Privacy Analyst Evaluation'!$A$46:$F$120,4,0),""))&amp;""</f>
      </c>
      <c r="M301" s="208">
        <f>IFERROR(VLOOKUP($I301,'Institution Evaluation'!$A$55:$F$345,6,0),IFERROR(VLOOKUP($I301,'Privacy Analyst Evaluation'!$A$46:$F$120,6,0),""))&amp;""</f>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ht="17" x14ac:dyDescent="0.2">
      <c r="A302" s="208" t="str">
        <f>IFERROR(IF($A301+1&gt;'(backend scoring)'!$T$335,"",$A301+1),"")</f>
      </c>
      <c r="B302" s="208">
        <f>_xlfn.XLOOKUP($A302,'(backend scoring)'!$V$2:$V$333,'(backend scoring)'!$A$2:$A$333,"")</f>
      </c>
      <c r="C302" s="208">
        <f>IFERROR(VLOOKUP($B302,'Institution Evaluation'!$A$55:$F$345,2,0),IFERROR(VLOOKUP($B302,'Privacy Analyst Evaluation'!$A$46:$F$120,2,0),""))&amp;""</f>
      </c>
      <c r="D302" s="208">
        <f>IFERROR(VLOOKUP($B302,'Institution Evaluation'!$A$55:$F$345,3,0),IFERROR(VLOOKUP($B302,'Privacy Analyst Evaluation'!$A$46:$F$120,3,0),""))&amp;""</f>
      </c>
      <c r="E302" s="208">
        <f>IFERROR(VLOOKUP($B302,'Institution Evaluation'!$A$55:$F$345,4,0),IFERROR(VLOOKUP($B302,'Privacy Analyst Evaluation'!$A$46:$F$120,4,0),""))&amp;""</f>
      </c>
      <c r="F302" s="208">
        <f>IFERROR(VLOOKUP($B302,'Institution Evaluation'!$A$55:$F$345,6,0),IFERROR(VLOOKUP($B302,'Privacy Analyst Evaluation'!$A$46:$F$120,6,0),""))&amp;""</f>
      </c>
      <c r="G302" s="209"/>
      <c r="H302" s="208" t="str">
        <f>IFERROR(IF($H301+1&gt;'(backend scoring)'!$Q$335,"",$H301+1),"")</f>
      </c>
      <c r="I302" s="208">
        <f>_xlfn.XLOOKUP($H302,'(backend scoring)'!$S$2:$S$333,'(backend scoring)'!$A$2:$A$333,"")</f>
      </c>
      <c r="J302" s="208">
        <f>IFERROR(VLOOKUP($I302,'Institution Evaluation'!$A$55:$F$345,2,0),IFERROR(VLOOKUP($I302,'Privacy Analyst Evaluation'!$A$46:$F$120,2,0),""))</f>
      </c>
      <c r="K302" s="208">
        <f>IFERROR(VLOOKUP($I302,'Institution Evaluation'!$A$55:$F$345,3,0),IFERROR(VLOOKUP($I302,'Privacy Analyst Evaluation'!$A$46:$F$120,3,0),""))&amp;""</f>
      </c>
      <c r="L302" s="208">
        <f>IFERROR(VLOOKUP($I302,'Institution Evaluation'!$A$55:$F$345,4,0),IFERROR(VLOOKUP($I302,'Privacy Analyst Evaluation'!$A$46:$F$120,4,0),""))&amp;""</f>
      </c>
      <c r="M302" s="208">
        <f>IFERROR(VLOOKUP($I302,'Institution Evaluation'!$A$55:$F$345,6,0),IFERROR(VLOOKUP($I302,'Privacy Analyst Evaluation'!$A$46:$F$120,6,0),""))&amp;""</f>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ht="17" x14ac:dyDescent="0.2">
      <c r="A303" s="208" t="str">
        <f>IFERROR(IF($A302+1&gt;'(backend scoring)'!$T$335,"",$A302+1),"")</f>
      </c>
      <c r="B303" s="208">
        <f>_xlfn.XLOOKUP($A303,'(backend scoring)'!$V$2:$V$333,'(backend scoring)'!$A$2:$A$333,"")</f>
      </c>
      <c r="C303" s="208">
        <f>IFERROR(VLOOKUP($B303,'Institution Evaluation'!$A$55:$F$345,2,0),IFERROR(VLOOKUP($B303,'Privacy Analyst Evaluation'!$A$46:$F$120,2,0),""))&amp;""</f>
      </c>
      <c r="D303" s="208">
        <f>IFERROR(VLOOKUP($B303,'Institution Evaluation'!$A$55:$F$345,3,0),IFERROR(VLOOKUP($B303,'Privacy Analyst Evaluation'!$A$46:$F$120,3,0),""))&amp;""</f>
      </c>
      <c r="E303" s="208">
        <f>IFERROR(VLOOKUP($B303,'Institution Evaluation'!$A$55:$F$345,4,0),IFERROR(VLOOKUP($B303,'Privacy Analyst Evaluation'!$A$46:$F$120,4,0),""))&amp;""</f>
      </c>
      <c r="F303" s="208">
        <f>IFERROR(VLOOKUP($B303,'Institution Evaluation'!$A$55:$F$345,6,0),IFERROR(VLOOKUP($B303,'Privacy Analyst Evaluation'!$A$46:$F$120,6,0),""))&amp;""</f>
      </c>
      <c r="G303" s="209"/>
      <c r="H303" s="208" t="str">
        <f>IFERROR(IF($H302+1&gt;'(backend scoring)'!$Q$335,"",$H302+1),"")</f>
      </c>
      <c r="I303" s="208">
        <f>_xlfn.XLOOKUP($H303,'(backend scoring)'!$S$2:$S$333,'(backend scoring)'!$A$2:$A$333,"")</f>
      </c>
      <c r="J303" s="208">
        <f>IFERROR(VLOOKUP($I303,'Institution Evaluation'!$A$55:$F$345,2,0),IFERROR(VLOOKUP($I303,'Privacy Analyst Evaluation'!$A$46:$F$120,2,0),""))</f>
      </c>
      <c r="K303" s="208">
        <f>IFERROR(VLOOKUP($I303,'Institution Evaluation'!$A$55:$F$345,3,0),IFERROR(VLOOKUP($I303,'Privacy Analyst Evaluation'!$A$46:$F$120,3,0),""))&amp;""</f>
      </c>
      <c r="L303" s="208">
        <f>IFERROR(VLOOKUP($I303,'Institution Evaluation'!$A$55:$F$345,4,0),IFERROR(VLOOKUP($I303,'Privacy Analyst Evaluation'!$A$46:$F$120,4,0),""))&amp;""</f>
      </c>
      <c r="M303" s="208">
        <f>IFERROR(VLOOKUP($I303,'Institution Evaluation'!$A$55:$F$345,6,0),IFERROR(VLOOKUP($I303,'Privacy Analyst Evaluation'!$A$46:$F$120,6,0),""))&amp;""</f>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ht="17" x14ac:dyDescent="0.2">
      <c r="A304" s="208" t="str">
        <f>IFERROR(IF($A303+1&gt;'(backend scoring)'!$T$335,"",$A303+1),"")</f>
      </c>
      <c r="B304" s="208">
        <f>_xlfn.XLOOKUP($A304,'(backend scoring)'!$V$2:$V$333,'(backend scoring)'!$A$2:$A$333,"")</f>
      </c>
      <c r="C304" s="208">
        <f>IFERROR(VLOOKUP($B304,'Institution Evaluation'!$A$55:$F$345,2,0),IFERROR(VLOOKUP($B304,'Privacy Analyst Evaluation'!$A$46:$F$120,2,0),""))&amp;""</f>
      </c>
      <c r="D304" s="208">
        <f>IFERROR(VLOOKUP($B304,'Institution Evaluation'!$A$55:$F$345,3,0),IFERROR(VLOOKUP($B304,'Privacy Analyst Evaluation'!$A$46:$F$120,3,0),""))&amp;""</f>
      </c>
      <c r="E304" s="208">
        <f>IFERROR(VLOOKUP($B304,'Institution Evaluation'!$A$55:$F$345,4,0),IFERROR(VLOOKUP($B304,'Privacy Analyst Evaluation'!$A$46:$F$120,4,0),""))&amp;""</f>
      </c>
      <c r="F304" s="208">
        <f>IFERROR(VLOOKUP($B304,'Institution Evaluation'!$A$55:$F$345,6,0),IFERROR(VLOOKUP($B304,'Privacy Analyst Evaluation'!$A$46:$F$120,6,0),""))&amp;""</f>
      </c>
      <c r="G304" s="209"/>
      <c r="H304" s="208" t="str">
        <f>IFERROR(IF($H303+1&gt;'(backend scoring)'!$Q$335,"",$H303+1),"")</f>
      </c>
      <c r="I304" s="208">
        <f>_xlfn.XLOOKUP($H304,'(backend scoring)'!$S$2:$S$333,'(backend scoring)'!$A$2:$A$333,"")</f>
      </c>
      <c r="J304" s="208">
        <f>IFERROR(VLOOKUP($I304,'Institution Evaluation'!$A$55:$F$345,2,0),IFERROR(VLOOKUP($I304,'Privacy Analyst Evaluation'!$A$46:$F$120,2,0),""))</f>
      </c>
      <c r="K304" s="208">
        <f>IFERROR(VLOOKUP($I304,'Institution Evaluation'!$A$55:$F$345,3,0),IFERROR(VLOOKUP($I304,'Privacy Analyst Evaluation'!$A$46:$F$120,3,0),""))&amp;""</f>
      </c>
      <c r="L304" s="208">
        <f>IFERROR(VLOOKUP($I304,'Institution Evaluation'!$A$55:$F$345,4,0),IFERROR(VLOOKUP($I304,'Privacy Analyst Evaluation'!$A$46:$F$120,4,0),""))&amp;""</f>
      </c>
      <c r="M304" s="208">
        <f>IFERROR(VLOOKUP($I304,'Institution Evaluation'!$A$55:$F$345,6,0),IFERROR(VLOOKUP($I304,'Privacy Analyst Evaluation'!$A$46:$F$120,6,0),""))&amp;""</f>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ht="17" x14ac:dyDescent="0.2">
      <c r="A305" s="208" t="str">
        <f>IFERROR(IF($A304+1&gt;'(backend scoring)'!$T$335,"",$A304+1),"")</f>
      </c>
      <c r="B305" s="208">
        <f>_xlfn.XLOOKUP($A305,'(backend scoring)'!$V$2:$V$333,'(backend scoring)'!$A$2:$A$333,"")</f>
      </c>
      <c r="C305" s="208">
        <f>IFERROR(VLOOKUP($B305,'Institution Evaluation'!$A$55:$F$345,2,0),IFERROR(VLOOKUP($B305,'Privacy Analyst Evaluation'!$A$46:$F$120,2,0),""))&amp;""</f>
      </c>
      <c r="D305" s="208">
        <f>IFERROR(VLOOKUP($B305,'Institution Evaluation'!$A$55:$F$345,3,0),IFERROR(VLOOKUP($B305,'Privacy Analyst Evaluation'!$A$46:$F$120,3,0),""))&amp;""</f>
      </c>
      <c r="E305" s="208">
        <f>IFERROR(VLOOKUP($B305,'Institution Evaluation'!$A$55:$F$345,4,0),IFERROR(VLOOKUP($B305,'Privacy Analyst Evaluation'!$A$46:$F$120,4,0),""))&amp;""</f>
      </c>
      <c r="F305" s="208">
        <f>IFERROR(VLOOKUP($B305,'Institution Evaluation'!$A$55:$F$345,6,0),IFERROR(VLOOKUP($B305,'Privacy Analyst Evaluation'!$A$46:$F$120,6,0),""))&amp;""</f>
      </c>
      <c r="G305" s="209"/>
      <c r="H305" s="208" t="str">
        <f>IFERROR(IF($H304+1&gt;'(backend scoring)'!$Q$335,"",$H304+1),"")</f>
      </c>
      <c r="I305" s="208">
        <f>_xlfn.XLOOKUP($H305,'(backend scoring)'!$S$2:$S$333,'(backend scoring)'!$A$2:$A$333,"")</f>
      </c>
      <c r="J305" s="208">
        <f>IFERROR(VLOOKUP($I305,'Institution Evaluation'!$A$55:$F$345,2,0),IFERROR(VLOOKUP($I305,'Privacy Analyst Evaluation'!$A$46:$F$120,2,0),""))</f>
      </c>
      <c r="K305" s="208">
        <f>IFERROR(VLOOKUP($I305,'Institution Evaluation'!$A$55:$F$345,3,0),IFERROR(VLOOKUP($I305,'Privacy Analyst Evaluation'!$A$46:$F$120,3,0),""))&amp;""</f>
      </c>
      <c r="L305" s="208">
        <f>IFERROR(VLOOKUP($I305,'Institution Evaluation'!$A$55:$F$345,4,0),IFERROR(VLOOKUP($I305,'Privacy Analyst Evaluation'!$A$46:$F$120,4,0),""))&amp;""</f>
      </c>
      <c r="M305" s="208">
        <f>IFERROR(VLOOKUP($I305,'Institution Evaluation'!$A$55:$F$345,6,0),IFERROR(VLOOKUP($I305,'Privacy Analyst Evaluation'!$A$46:$F$120,6,0),""))&amp;""</f>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ht="17" x14ac:dyDescent="0.2">
      <c r="A306" s="208" t="str">
        <f>IFERROR(IF($A305+1&gt;'(backend scoring)'!$T$335,"",$A305+1),"")</f>
      </c>
      <c r="B306" s="208">
        <f>_xlfn.XLOOKUP($A306,'(backend scoring)'!$V$2:$V$333,'(backend scoring)'!$A$2:$A$333,"")</f>
      </c>
      <c r="C306" s="208">
        <f>IFERROR(VLOOKUP($B306,'Institution Evaluation'!$A$55:$F$345,2,0),IFERROR(VLOOKUP($B306,'Privacy Analyst Evaluation'!$A$46:$F$120,2,0),""))&amp;""</f>
      </c>
      <c r="D306" s="208">
        <f>IFERROR(VLOOKUP($B306,'Institution Evaluation'!$A$55:$F$345,3,0),IFERROR(VLOOKUP($B306,'Privacy Analyst Evaluation'!$A$46:$F$120,3,0),""))&amp;""</f>
      </c>
      <c r="E306" s="208">
        <f>IFERROR(VLOOKUP($B306,'Institution Evaluation'!$A$55:$F$345,4,0),IFERROR(VLOOKUP($B306,'Privacy Analyst Evaluation'!$A$46:$F$120,4,0),""))&amp;""</f>
      </c>
      <c r="F306" s="208">
        <f>IFERROR(VLOOKUP($B306,'Institution Evaluation'!$A$55:$F$345,6,0),IFERROR(VLOOKUP($B306,'Privacy Analyst Evaluation'!$A$46:$F$120,6,0),""))&amp;""</f>
      </c>
      <c r="G306" s="209"/>
      <c r="H306" s="208" t="str">
        <f>IFERROR(IF($H305+1&gt;'(backend scoring)'!$Q$335,"",$H305+1),"")</f>
      </c>
      <c r="I306" s="208">
        <f>_xlfn.XLOOKUP($H306,'(backend scoring)'!$S$2:$S$333,'(backend scoring)'!$A$2:$A$333,"")</f>
      </c>
      <c r="J306" s="208">
        <f>IFERROR(VLOOKUP($I306,'Institution Evaluation'!$A$55:$F$345,2,0),IFERROR(VLOOKUP($I306,'Privacy Analyst Evaluation'!$A$46:$F$120,2,0),""))</f>
      </c>
      <c r="K306" s="208">
        <f>IFERROR(VLOOKUP($I306,'Institution Evaluation'!$A$55:$F$345,3,0),IFERROR(VLOOKUP($I306,'Privacy Analyst Evaluation'!$A$46:$F$120,3,0),""))&amp;""</f>
      </c>
      <c r="L306" s="208">
        <f>IFERROR(VLOOKUP($I306,'Institution Evaluation'!$A$55:$F$345,4,0),IFERROR(VLOOKUP($I306,'Privacy Analyst Evaluation'!$A$46:$F$120,4,0),""))&amp;""</f>
      </c>
      <c r="M306" s="208">
        <f>IFERROR(VLOOKUP($I306,'Institution Evaluation'!$A$55:$F$345,6,0),IFERROR(VLOOKUP($I306,'Privacy Analyst Evaluation'!$A$46:$F$120,6,0),""))&amp;""</f>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ht="17" x14ac:dyDescent="0.2">
      <c r="A307" s="208" t="str">
        <f>IFERROR(IF($A306+1&gt;'(backend scoring)'!$T$335,"",$A306+1),"")</f>
      </c>
      <c r="B307" s="208">
        <f>_xlfn.XLOOKUP($A307,'(backend scoring)'!$V$2:$V$333,'(backend scoring)'!$A$2:$A$333,"")</f>
      </c>
      <c r="C307" s="208">
        <f>IFERROR(VLOOKUP($B307,'Institution Evaluation'!$A$55:$F$345,2,0),IFERROR(VLOOKUP($B307,'Privacy Analyst Evaluation'!$A$46:$F$120,2,0),""))&amp;""</f>
      </c>
      <c r="D307" s="208">
        <f>IFERROR(VLOOKUP($B307,'Institution Evaluation'!$A$55:$F$345,3,0),IFERROR(VLOOKUP($B307,'Privacy Analyst Evaluation'!$A$46:$F$120,3,0),""))&amp;""</f>
      </c>
      <c r="E307" s="208">
        <f>IFERROR(VLOOKUP($B307,'Institution Evaluation'!$A$55:$F$345,4,0),IFERROR(VLOOKUP($B307,'Privacy Analyst Evaluation'!$A$46:$F$120,4,0),""))&amp;""</f>
      </c>
      <c r="F307" s="208">
        <f>IFERROR(VLOOKUP($B307,'Institution Evaluation'!$A$55:$F$345,6,0),IFERROR(VLOOKUP($B307,'Privacy Analyst Evaluation'!$A$46:$F$120,6,0),""))&amp;""</f>
      </c>
      <c r="G307" s="209"/>
      <c r="H307" s="208" t="str">
        <f>IFERROR(IF($H306+1&gt;'(backend scoring)'!$Q$335,"",$H306+1),"")</f>
      </c>
      <c r="I307" s="208">
        <f>_xlfn.XLOOKUP($H307,'(backend scoring)'!$S$2:$S$333,'(backend scoring)'!$A$2:$A$333,"")</f>
      </c>
      <c r="J307" s="208">
        <f>IFERROR(VLOOKUP($I307,'Institution Evaluation'!$A$55:$F$345,2,0),IFERROR(VLOOKUP($I307,'Privacy Analyst Evaluation'!$A$46:$F$120,2,0),""))</f>
      </c>
      <c r="K307" s="208">
        <f>IFERROR(VLOOKUP($I307,'Institution Evaluation'!$A$55:$F$345,3,0),IFERROR(VLOOKUP($I307,'Privacy Analyst Evaluation'!$A$46:$F$120,3,0),""))&amp;""</f>
      </c>
      <c r="L307" s="208">
        <f>IFERROR(VLOOKUP($I307,'Institution Evaluation'!$A$55:$F$345,4,0),IFERROR(VLOOKUP($I307,'Privacy Analyst Evaluation'!$A$46:$F$120,4,0),""))&amp;""</f>
      </c>
      <c r="M307" s="208">
        <f>IFERROR(VLOOKUP($I307,'Institution Evaluation'!$A$55:$F$345,6,0),IFERROR(VLOOKUP($I307,'Privacy Analyst Evaluation'!$A$46:$F$120,6,0),""))&amp;""</f>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ht="17" x14ac:dyDescent="0.2">
      <c r="A308" s="208" t="str">
        <f>IFERROR(IF($A307+1&gt;'(backend scoring)'!$T$335,"",$A307+1),"")</f>
      </c>
      <c r="B308" s="208">
        <f>_xlfn.XLOOKUP($A308,'(backend scoring)'!$V$2:$V$333,'(backend scoring)'!$A$2:$A$333,"")</f>
      </c>
      <c r="C308" s="208">
        <f>IFERROR(VLOOKUP($B308,'Institution Evaluation'!$A$55:$F$345,2,0),IFERROR(VLOOKUP($B308,'Privacy Analyst Evaluation'!$A$46:$F$120,2,0),""))&amp;""</f>
      </c>
      <c r="D308" s="208">
        <f>IFERROR(VLOOKUP($B308,'Institution Evaluation'!$A$55:$F$345,3,0),IFERROR(VLOOKUP($B308,'Privacy Analyst Evaluation'!$A$46:$F$120,3,0),""))&amp;""</f>
      </c>
      <c r="E308" s="208">
        <f>IFERROR(VLOOKUP($B308,'Institution Evaluation'!$A$55:$F$345,4,0),IFERROR(VLOOKUP($B308,'Privacy Analyst Evaluation'!$A$46:$F$120,4,0),""))&amp;""</f>
      </c>
      <c r="F308" s="208">
        <f>IFERROR(VLOOKUP($B308,'Institution Evaluation'!$A$55:$F$345,6,0),IFERROR(VLOOKUP($B308,'Privacy Analyst Evaluation'!$A$46:$F$120,6,0),""))&amp;""</f>
      </c>
      <c r="G308" s="209"/>
      <c r="H308" s="208" t="str">
        <f>IFERROR(IF($H307+1&gt;'(backend scoring)'!$Q$335,"",$H307+1),"")</f>
      </c>
      <c r="I308" s="208">
        <f>_xlfn.XLOOKUP($H308,'(backend scoring)'!$S$2:$S$333,'(backend scoring)'!$A$2:$A$333,"")</f>
      </c>
      <c r="J308" s="208">
        <f>IFERROR(VLOOKUP($I308,'Institution Evaluation'!$A$55:$F$345,2,0),IFERROR(VLOOKUP($I308,'Privacy Analyst Evaluation'!$A$46:$F$120,2,0),""))</f>
      </c>
      <c r="K308" s="208">
        <f>IFERROR(VLOOKUP($I308,'Institution Evaluation'!$A$55:$F$345,3,0),IFERROR(VLOOKUP($I308,'Privacy Analyst Evaluation'!$A$46:$F$120,3,0),""))&amp;""</f>
      </c>
      <c r="L308" s="208">
        <f>IFERROR(VLOOKUP($I308,'Institution Evaluation'!$A$55:$F$345,4,0),IFERROR(VLOOKUP($I308,'Privacy Analyst Evaluation'!$A$46:$F$120,4,0),""))&amp;""</f>
      </c>
      <c r="M308" s="208">
        <f>IFERROR(VLOOKUP($I308,'Institution Evaluation'!$A$55:$F$345,6,0),IFERROR(VLOOKUP($I308,'Privacy Analyst Evaluation'!$A$46:$F$120,6,0),""))&amp;""</f>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ht="17" x14ac:dyDescent="0.2">
      <c r="A309" s="208" t="str">
        <f>IFERROR(IF($A308+1&gt;'(backend scoring)'!$T$335,"",$A308+1),"")</f>
      </c>
      <c r="B309" s="208">
        <f>_xlfn.XLOOKUP($A309,'(backend scoring)'!$V$2:$V$333,'(backend scoring)'!$A$2:$A$333,"")</f>
      </c>
      <c r="C309" s="208">
        <f>IFERROR(VLOOKUP($B309,'Institution Evaluation'!$A$55:$F$345,2,0),IFERROR(VLOOKUP($B309,'Privacy Analyst Evaluation'!$A$46:$F$120,2,0),""))&amp;""</f>
      </c>
      <c r="D309" s="208">
        <f>IFERROR(VLOOKUP($B309,'Institution Evaluation'!$A$55:$F$345,3,0),IFERROR(VLOOKUP($B309,'Privacy Analyst Evaluation'!$A$46:$F$120,3,0),""))&amp;""</f>
      </c>
      <c r="E309" s="208">
        <f>IFERROR(VLOOKUP($B309,'Institution Evaluation'!$A$55:$F$345,4,0),IFERROR(VLOOKUP($B309,'Privacy Analyst Evaluation'!$A$46:$F$120,4,0),""))&amp;""</f>
      </c>
      <c r="F309" s="208">
        <f>IFERROR(VLOOKUP($B309,'Institution Evaluation'!$A$55:$F$345,6,0),IFERROR(VLOOKUP($B309,'Privacy Analyst Evaluation'!$A$46:$F$120,6,0),""))&amp;""</f>
      </c>
      <c r="G309" s="209"/>
      <c r="H309" s="208" t="str">
        <f>IFERROR(IF($H308+1&gt;'(backend scoring)'!$Q$335,"",$H308+1),"")</f>
      </c>
      <c r="I309" s="208">
        <f>_xlfn.XLOOKUP($H309,'(backend scoring)'!$S$2:$S$333,'(backend scoring)'!$A$2:$A$333,"")</f>
      </c>
      <c r="J309" s="208">
        <f>IFERROR(VLOOKUP($I309,'Institution Evaluation'!$A$55:$F$345,2,0),IFERROR(VLOOKUP($I309,'Privacy Analyst Evaluation'!$A$46:$F$120,2,0),""))</f>
      </c>
      <c r="K309" s="208">
        <f>IFERROR(VLOOKUP($I309,'Institution Evaluation'!$A$55:$F$345,3,0),IFERROR(VLOOKUP($I309,'Privacy Analyst Evaluation'!$A$46:$F$120,3,0),""))&amp;""</f>
      </c>
      <c r="L309" s="208">
        <f>IFERROR(VLOOKUP($I309,'Institution Evaluation'!$A$55:$F$345,4,0),IFERROR(VLOOKUP($I309,'Privacy Analyst Evaluation'!$A$46:$F$120,4,0),""))&amp;""</f>
      </c>
      <c r="M309" s="208">
        <f>IFERROR(VLOOKUP($I309,'Institution Evaluation'!$A$55:$F$345,6,0),IFERROR(VLOOKUP($I309,'Privacy Analyst Evaluation'!$A$46:$F$120,6,0),""))&amp;""</f>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ht="17" x14ac:dyDescent="0.2">
      <c r="A310" s="208" t="str">
        <f>IFERROR(IF($A309+1&gt;'(backend scoring)'!$T$335,"",$A309+1),"")</f>
      </c>
      <c r="B310" s="208">
        <f>_xlfn.XLOOKUP($A310,'(backend scoring)'!$V$2:$V$333,'(backend scoring)'!$A$2:$A$333,"")</f>
      </c>
      <c r="C310" s="208">
        <f>IFERROR(VLOOKUP($B310,'Institution Evaluation'!$A$55:$F$345,2,0),IFERROR(VLOOKUP($B310,'Privacy Analyst Evaluation'!$A$46:$F$120,2,0),""))&amp;""</f>
      </c>
      <c r="D310" s="208">
        <f>IFERROR(VLOOKUP($B310,'Institution Evaluation'!$A$55:$F$345,3,0),IFERROR(VLOOKUP($B310,'Privacy Analyst Evaluation'!$A$46:$F$120,3,0),""))&amp;""</f>
      </c>
      <c r="E310" s="208">
        <f>IFERROR(VLOOKUP($B310,'Institution Evaluation'!$A$55:$F$345,4,0),IFERROR(VLOOKUP($B310,'Privacy Analyst Evaluation'!$A$46:$F$120,4,0),""))&amp;""</f>
      </c>
      <c r="F310" s="208">
        <f>IFERROR(VLOOKUP($B310,'Institution Evaluation'!$A$55:$F$345,6,0),IFERROR(VLOOKUP($B310,'Privacy Analyst Evaluation'!$A$46:$F$120,6,0),""))&amp;""</f>
      </c>
      <c r="G310" s="209"/>
      <c r="H310" s="208" t="str">
        <f>IFERROR(IF($H309+1&gt;'(backend scoring)'!$Q$335,"",$H309+1),"")</f>
      </c>
      <c r="I310" s="208">
        <f>_xlfn.XLOOKUP($H310,'(backend scoring)'!$S$2:$S$333,'(backend scoring)'!$A$2:$A$333,"")</f>
      </c>
      <c r="J310" s="208">
        <f>IFERROR(VLOOKUP($I310,'Institution Evaluation'!$A$55:$F$345,2,0),IFERROR(VLOOKUP($I310,'Privacy Analyst Evaluation'!$A$46:$F$120,2,0),""))</f>
      </c>
      <c r="K310" s="208">
        <f>IFERROR(VLOOKUP($I310,'Institution Evaluation'!$A$55:$F$345,3,0),IFERROR(VLOOKUP($I310,'Privacy Analyst Evaluation'!$A$46:$F$120,3,0),""))&amp;""</f>
      </c>
      <c r="L310" s="208">
        <f>IFERROR(VLOOKUP($I310,'Institution Evaluation'!$A$55:$F$345,4,0),IFERROR(VLOOKUP($I310,'Privacy Analyst Evaluation'!$A$46:$F$120,4,0),""))&amp;""</f>
      </c>
      <c r="M310" s="208">
        <f>IFERROR(VLOOKUP($I310,'Institution Evaluation'!$A$55:$F$345,6,0),IFERROR(VLOOKUP($I310,'Privacy Analyst Evaluation'!$A$46:$F$120,6,0),""))&amp;""</f>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ht="17" x14ac:dyDescent="0.2">
      <c r="A311" s="208" t="str">
        <f>IFERROR(IF($A310+1&gt;'(backend scoring)'!$T$335,"",$A310+1),"")</f>
      </c>
      <c r="B311" s="208">
        <f>_xlfn.XLOOKUP($A311,'(backend scoring)'!$V$2:$V$333,'(backend scoring)'!$A$2:$A$333,"")</f>
      </c>
      <c r="C311" s="208">
        <f>IFERROR(VLOOKUP($B311,'Institution Evaluation'!$A$55:$F$345,2,0),IFERROR(VLOOKUP($B311,'Privacy Analyst Evaluation'!$A$46:$F$120,2,0),""))&amp;""</f>
      </c>
      <c r="D311" s="208">
        <f>IFERROR(VLOOKUP($B311,'Institution Evaluation'!$A$55:$F$345,3,0),IFERROR(VLOOKUP($B311,'Privacy Analyst Evaluation'!$A$46:$F$120,3,0),""))&amp;""</f>
      </c>
      <c r="E311" s="208">
        <f>IFERROR(VLOOKUP($B311,'Institution Evaluation'!$A$55:$F$345,4,0),IFERROR(VLOOKUP($B311,'Privacy Analyst Evaluation'!$A$46:$F$120,4,0),""))&amp;""</f>
      </c>
      <c r="F311" s="208">
        <f>IFERROR(VLOOKUP($B311,'Institution Evaluation'!$A$55:$F$345,6,0),IFERROR(VLOOKUP($B311,'Privacy Analyst Evaluation'!$A$46:$F$120,6,0),""))&amp;""</f>
      </c>
      <c r="G311" s="209"/>
      <c r="H311" s="208" t="str">
        <f>IFERROR(IF($H310+1&gt;'(backend scoring)'!$Q$335,"",$H310+1),"")</f>
      </c>
      <c r="I311" s="208">
        <f>_xlfn.XLOOKUP($H311,'(backend scoring)'!$S$2:$S$333,'(backend scoring)'!$A$2:$A$333,"")</f>
      </c>
      <c r="J311" s="208">
        <f>IFERROR(VLOOKUP($I311,'Institution Evaluation'!$A$55:$F$345,2,0),IFERROR(VLOOKUP($I311,'Privacy Analyst Evaluation'!$A$46:$F$120,2,0),""))</f>
      </c>
      <c r="K311" s="208">
        <f>IFERROR(VLOOKUP($I311,'Institution Evaluation'!$A$55:$F$345,3,0),IFERROR(VLOOKUP($I311,'Privacy Analyst Evaluation'!$A$46:$F$120,3,0),""))&amp;""</f>
      </c>
      <c r="L311" s="208">
        <f>IFERROR(VLOOKUP($I311,'Institution Evaluation'!$A$55:$F$345,4,0),IFERROR(VLOOKUP($I311,'Privacy Analyst Evaluation'!$A$46:$F$120,4,0),""))&amp;""</f>
      </c>
      <c r="M311" s="208">
        <f>IFERROR(VLOOKUP($I311,'Institution Evaluation'!$A$55:$F$345,6,0),IFERROR(VLOOKUP($I311,'Privacy Analyst Evaluation'!$A$46:$F$120,6,0),""))&amp;""</f>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ht="17" x14ac:dyDescent="0.2">
      <c r="A312" s="208" t="str">
        <f>IFERROR(IF($A311+1&gt;'(backend scoring)'!$T$335,"",$A311+1),"")</f>
      </c>
      <c r="B312" s="208">
        <f>_xlfn.XLOOKUP($A312,'(backend scoring)'!$V$2:$V$333,'(backend scoring)'!$A$2:$A$333,"")</f>
      </c>
      <c r="C312" s="208">
        <f>IFERROR(VLOOKUP($B312,'Institution Evaluation'!$A$55:$F$345,2,0),IFERROR(VLOOKUP($B312,'Privacy Analyst Evaluation'!$A$46:$F$120,2,0),""))&amp;""</f>
      </c>
      <c r="D312" s="208">
        <f>IFERROR(VLOOKUP($B312,'Institution Evaluation'!$A$55:$F$345,3,0),IFERROR(VLOOKUP($B312,'Privacy Analyst Evaluation'!$A$46:$F$120,3,0),""))&amp;""</f>
      </c>
      <c r="E312" s="208">
        <f>IFERROR(VLOOKUP($B312,'Institution Evaluation'!$A$55:$F$345,4,0),IFERROR(VLOOKUP($B312,'Privacy Analyst Evaluation'!$A$46:$F$120,4,0),""))&amp;""</f>
      </c>
      <c r="F312" s="208">
        <f>IFERROR(VLOOKUP($B312,'Institution Evaluation'!$A$55:$F$345,6,0),IFERROR(VLOOKUP($B312,'Privacy Analyst Evaluation'!$A$46:$F$120,6,0),""))&amp;""</f>
      </c>
      <c r="G312" s="209"/>
      <c r="H312" s="208" t="str">
        <f>IFERROR(IF($H311+1&gt;'(backend scoring)'!$Q$335,"",$H311+1),"")</f>
      </c>
      <c r="I312" s="208">
        <f>_xlfn.XLOOKUP($H312,'(backend scoring)'!$S$2:$S$333,'(backend scoring)'!$A$2:$A$333,"")</f>
      </c>
      <c r="J312" s="208">
        <f>IFERROR(VLOOKUP($I312,'Institution Evaluation'!$A$55:$F$345,2,0),IFERROR(VLOOKUP($I312,'Privacy Analyst Evaluation'!$A$46:$F$120,2,0),""))</f>
      </c>
      <c r="K312" s="208">
        <f>IFERROR(VLOOKUP($I312,'Institution Evaluation'!$A$55:$F$345,3,0),IFERROR(VLOOKUP($I312,'Privacy Analyst Evaluation'!$A$46:$F$120,3,0),""))&amp;""</f>
      </c>
      <c r="L312" s="208">
        <f>IFERROR(VLOOKUP($I312,'Institution Evaluation'!$A$55:$F$345,4,0),IFERROR(VLOOKUP($I312,'Privacy Analyst Evaluation'!$A$46:$F$120,4,0),""))&amp;""</f>
      </c>
      <c r="M312" s="208">
        <f>IFERROR(VLOOKUP($I312,'Institution Evaluation'!$A$55:$F$345,6,0),IFERROR(VLOOKUP($I312,'Privacy Analyst Evaluation'!$A$46:$F$120,6,0),""))&amp;""</f>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ht="17" x14ac:dyDescent="0.2">
      <c r="A313" s="208" t="str">
        <f>IFERROR(IF($A312+1&gt;'(backend scoring)'!$T$335,"",$A312+1),"")</f>
      </c>
      <c r="B313" s="208">
        <f>_xlfn.XLOOKUP($A313,'(backend scoring)'!$V$2:$V$333,'(backend scoring)'!$A$2:$A$333,"")</f>
      </c>
      <c r="C313" s="208">
        <f>IFERROR(VLOOKUP($B313,'Institution Evaluation'!$A$55:$F$345,2,0),IFERROR(VLOOKUP($B313,'Privacy Analyst Evaluation'!$A$46:$F$120,2,0),""))&amp;""</f>
      </c>
      <c r="D313" s="208">
        <f>IFERROR(VLOOKUP($B313,'Institution Evaluation'!$A$55:$F$345,3,0),IFERROR(VLOOKUP($B313,'Privacy Analyst Evaluation'!$A$46:$F$120,3,0),""))&amp;""</f>
      </c>
      <c r="E313" s="208">
        <f>IFERROR(VLOOKUP($B313,'Institution Evaluation'!$A$55:$F$345,4,0),IFERROR(VLOOKUP($B313,'Privacy Analyst Evaluation'!$A$46:$F$120,4,0),""))&amp;""</f>
      </c>
      <c r="F313" s="208">
        <f>IFERROR(VLOOKUP($B313,'Institution Evaluation'!$A$55:$F$345,6,0),IFERROR(VLOOKUP($B313,'Privacy Analyst Evaluation'!$A$46:$F$120,6,0),""))&amp;""</f>
      </c>
      <c r="G313" s="209"/>
      <c r="H313" s="208" t="str">
        <f>IFERROR(IF($H312+1&gt;'(backend scoring)'!$Q$335,"",$H312+1),"")</f>
      </c>
      <c r="I313" s="208">
        <f>_xlfn.XLOOKUP($H313,'(backend scoring)'!$S$2:$S$333,'(backend scoring)'!$A$2:$A$333,"")</f>
      </c>
      <c r="J313" s="208">
        <f>IFERROR(VLOOKUP($I313,'Institution Evaluation'!$A$55:$F$345,2,0),IFERROR(VLOOKUP($I313,'Privacy Analyst Evaluation'!$A$46:$F$120,2,0),""))</f>
      </c>
      <c r="K313" s="208">
        <f>IFERROR(VLOOKUP($I313,'Institution Evaluation'!$A$55:$F$345,3,0),IFERROR(VLOOKUP($I313,'Privacy Analyst Evaluation'!$A$46:$F$120,3,0),""))&amp;""</f>
      </c>
      <c r="L313" s="208">
        <f>IFERROR(VLOOKUP($I313,'Institution Evaluation'!$A$55:$F$345,4,0),IFERROR(VLOOKUP($I313,'Privacy Analyst Evaluation'!$A$46:$F$120,4,0),""))&amp;""</f>
      </c>
      <c r="M313" s="208">
        <f>IFERROR(VLOOKUP($I313,'Institution Evaluation'!$A$55:$F$345,6,0),IFERROR(VLOOKUP($I313,'Privacy Analyst Evaluation'!$A$46:$F$120,6,0),""))&amp;""</f>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ht="17" x14ac:dyDescent="0.2">
      <c r="A314" s="208" t="str">
        <f>IFERROR(IF($A313+1&gt;'(backend scoring)'!$T$335,"",$A313+1),"")</f>
      </c>
      <c r="B314" s="208">
        <f>_xlfn.XLOOKUP($A314,'(backend scoring)'!$V$2:$V$333,'(backend scoring)'!$A$2:$A$333,"")</f>
      </c>
      <c r="C314" s="208">
        <f>IFERROR(VLOOKUP($B314,'Institution Evaluation'!$A$55:$F$345,2,0),IFERROR(VLOOKUP($B314,'Privacy Analyst Evaluation'!$A$46:$F$120,2,0),""))&amp;""</f>
      </c>
      <c r="D314" s="208">
        <f>IFERROR(VLOOKUP($B314,'Institution Evaluation'!$A$55:$F$345,3,0),IFERROR(VLOOKUP($B314,'Privacy Analyst Evaluation'!$A$46:$F$120,3,0),""))&amp;""</f>
      </c>
      <c r="E314" s="208">
        <f>IFERROR(VLOOKUP($B314,'Institution Evaluation'!$A$55:$F$345,4,0),IFERROR(VLOOKUP($B314,'Privacy Analyst Evaluation'!$A$46:$F$120,4,0),""))&amp;""</f>
      </c>
      <c r="F314" s="208">
        <f>IFERROR(VLOOKUP($B314,'Institution Evaluation'!$A$55:$F$345,6,0),IFERROR(VLOOKUP($B314,'Privacy Analyst Evaluation'!$A$46:$F$120,6,0),""))&amp;""</f>
      </c>
      <c r="G314" s="209"/>
      <c r="H314" s="208" t="str">
        <f>IFERROR(IF($H313+1&gt;'(backend scoring)'!$Q$335,"",$H313+1),"")</f>
      </c>
      <c r="I314" s="208">
        <f>_xlfn.XLOOKUP($H314,'(backend scoring)'!$S$2:$S$333,'(backend scoring)'!$A$2:$A$333,"")</f>
      </c>
      <c r="J314" s="208">
        <f>IFERROR(VLOOKUP($I314,'Institution Evaluation'!$A$55:$F$345,2,0),IFERROR(VLOOKUP($I314,'Privacy Analyst Evaluation'!$A$46:$F$120,2,0),""))</f>
      </c>
      <c r="K314" s="208">
        <f>IFERROR(VLOOKUP($I314,'Institution Evaluation'!$A$55:$F$345,3,0),IFERROR(VLOOKUP($I314,'Privacy Analyst Evaluation'!$A$46:$F$120,3,0),""))&amp;""</f>
      </c>
      <c r="L314" s="208">
        <f>IFERROR(VLOOKUP($I314,'Institution Evaluation'!$A$55:$F$345,4,0),IFERROR(VLOOKUP($I314,'Privacy Analyst Evaluation'!$A$46:$F$120,4,0),""))&amp;""</f>
      </c>
      <c r="M314" s="208">
        <f>IFERROR(VLOOKUP($I314,'Institution Evaluation'!$A$55:$F$345,6,0),IFERROR(VLOOKUP($I314,'Privacy Analyst Evaluation'!$A$46:$F$120,6,0),""))&amp;""</f>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ht="17" x14ac:dyDescent="0.2">
      <c r="A315" s="208" t="str">
        <f>IFERROR(IF($A314+1&gt;'(backend scoring)'!$T$335,"",$A314+1),"")</f>
      </c>
      <c r="B315" s="208">
        <f>_xlfn.XLOOKUP($A315,'(backend scoring)'!$V$2:$V$333,'(backend scoring)'!$A$2:$A$333,"")</f>
      </c>
      <c r="C315" s="208">
        <f>IFERROR(VLOOKUP($B315,'Institution Evaluation'!$A$55:$F$345,2,0),IFERROR(VLOOKUP($B315,'Privacy Analyst Evaluation'!$A$46:$F$120,2,0),""))&amp;""</f>
      </c>
      <c r="D315" s="208">
        <f>IFERROR(VLOOKUP($B315,'Institution Evaluation'!$A$55:$F$345,3,0),IFERROR(VLOOKUP($B315,'Privacy Analyst Evaluation'!$A$46:$F$120,3,0),""))&amp;""</f>
      </c>
      <c r="E315" s="208">
        <f>IFERROR(VLOOKUP($B315,'Institution Evaluation'!$A$55:$F$345,4,0),IFERROR(VLOOKUP($B315,'Privacy Analyst Evaluation'!$A$46:$F$120,4,0),""))&amp;""</f>
      </c>
      <c r="F315" s="208">
        <f>IFERROR(VLOOKUP($B315,'Institution Evaluation'!$A$55:$F$345,6,0),IFERROR(VLOOKUP($B315,'Privacy Analyst Evaluation'!$A$46:$F$120,6,0),""))&amp;""</f>
      </c>
      <c r="G315" s="209"/>
      <c r="H315" s="208" t="str">
        <f>IFERROR(IF($H314+1&gt;'(backend scoring)'!$Q$335,"",$H314+1),"")</f>
      </c>
      <c r="I315" s="208">
        <f>_xlfn.XLOOKUP($H315,'(backend scoring)'!$S$2:$S$333,'(backend scoring)'!$A$2:$A$333,"")</f>
      </c>
      <c r="J315" s="208">
        <f>IFERROR(VLOOKUP($I315,'Institution Evaluation'!$A$55:$F$345,2,0),IFERROR(VLOOKUP($I315,'Privacy Analyst Evaluation'!$A$46:$F$120,2,0),""))</f>
      </c>
      <c r="K315" s="208">
        <f>IFERROR(VLOOKUP($I315,'Institution Evaluation'!$A$55:$F$345,3,0),IFERROR(VLOOKUP($I315,'Privacy Analyst Evaluation'!$A$46:$F$120,3,0),""))&amp;""</f>
      </c>
      <c r="L315" s="208">
        <f>IFERROR(VLOOKUP($I315,'Institution Evaluation'!$A$55:$F$345,4,0),IFERROR(VLOOKUP($I315,'Privacy Analyst Evaluation'!$A$46:$F$120,4,0),""))&amp;""</f>
      </c>
      <c r="M315" s="208">
        <f>IFERROR(VLOOKUP($I315,'Institution Evaluation'!$A$55:$F$345,6,0),IFERROR(VLOOKUP($I315,'Privacy Analyst Evaluation'!$A$46:$F$120,6,0),""))&amp;""</f>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ht="17" x14ac:dyDescent="0.2">
      <c r="A316" s="208" t="str">
        <f>IFERROR(IF($A315+1&gt;'(backend scoring)'!$T$335,"",$A315+1),"")</f>
      </c>
      <c r="B316" s="208">
        <f>_xlfn.XLOOKUP($A316,'(backend scoring)'!$V$2:$V$333,'(backend scoring)'!$A$2:$A$333,"")</f>
      </c>
      <c r="C316" s="208">
        <f>IFERROR(VLOOKUP($B316,'Institution Evaluation'!$A$55:$F$345,2,0),IFERROR(VLOOKUP($B316,'Privacy Analyst Evaluation'!$A$46:$F$120,2,0),""))&amp;""</f>
      </c>
      <c r="D316" s="208">
        <f>IFERROR(VLOOKUP($B316,'Institution Evaluation'!$A$55:$F$345,3,0),IFERROR(VLOOKUP($B316,'Privacy Analyst Evaluation'!$A$46:$F$120,3,0),""))&amp;""</f>
      </c>
      <c r="E316" s="208">
        <f>IFERROR(VLOOKUP($B316,'Institution Evaluation'!$A$55:$F$345,4,0),IFERROR(VLOOKUP($B316,'Privacy Analyst Evaluation'!$A$46:$F$120,4,0),""))&amp;""</f>
      </c>
      <c r="F316" s="208">
        <f>IFERROR(VLOOKUP($B316,'Institution Evaluation'!$A$55:$F$345,6,0),IFERROR(VLOOKUP($B316,'Privacy Analyst Evaluation'!$A$46:$F$120,6,0),""))&amp;""</f>
      </c>
      <c r="G316" s="209"/>
      <c r="H316" s="208" t="str">
        <f>IFERROR(IF($H315+1&gt;'(backend scoring)'!$Q$335,"",$H315+1),"")</f>
      </c>
      <c r="I316" s="208">
        <f>_xlfn.XLOOKUP($H316,'(backend scoring)'!$S$2:$S$333,'(backend scoring)'!$A$2:$A$333,"")</f>
      </c>
      <c r="J316" s="208">
        <f>IFERROR(VLOOKUP($I316,'Institution Evaluation'!$A$55:$F$345,2,0),IFERROR(VLOOKUP($I316,'Privacy Analyst Evaluation'!$A$46:$F$120,2,0),""))</f>
      </c>
      <c r="K316" s="208">
        <f>IFERROR(VLOOKUP($I316,'Institution Evaluation'!$A$55:$F$345,3,0),IFERROR(VLOOKUP($I316,'Privacy Analyst Evaluation'!$A$46:$F$120,3,0),""))&amp;""</f>
      </c>
      <c r="L316" s="208">
        <f>IFERROR(VLOOKUP($I316,'Institution Evaluation'!$A$55:$F$345,4,0),IFERROR(VLOOKUP($I316,'Privacy Analyst Evaluation'!$A$46:$F$120,4,0),""))&amp;""</f>
      </c>
      <c r="M316" s="208">
        <f>IFERROR(VLOOKUP($I316,'Institution Evaluation'!$A$55:$F$345,6,0),IFERROR(VLOOKUP($I316,'Privacy Analyst Evaluation'!$A$46:$F$120,6,0),""))&amp;""</f>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ht="17" x14ac:dyDescent="0.2">
      <c r="A317" s="208" t="str">
        <f>IFERROR(IF($A316+1&gt;'(backend scoring)'!$T$335,"",$A316+1),"")</f>
      </c>
      <c r="B317" s="208">
        <f>_xlfn.XLOOKUP($A317,'(backend scoring)'!$V$2:$V$333,'(backend scoring)'!$A$2:$A$333,"")</f>
      </c>
      <c r="C317" s="208">
        <f>IFERROR(VLOOKUP($B317,'Institution Evaluation'!$A$55:$F$345,2,0),IFERROR(VLOOKUP($B317,'Privacy Analyst Evaluation'!$A$46:$F$120,2,0),""))&amp;""</f>
      </c>
      <c r="D317" s="208">
        <f>IFERROR(VLOOKUP($B317,'Institution Evaluation'!$A$55:$F$345,3,0),IFERROR(VLOOKUP($B317,'Privacy Analyst Evaluation'!$A$46:$F$120,3,0),""))&amp;""</f>
      </c>
      <c r="E317" s="208">
        <f>IFERROR(VLOOKUP($B317,'Institution Evaluation'!$A$55:$F$345,4,0),IFERROR(VLOOKUP($B317,'Privacy Analyst Evaluation'!$A$46:$F$120,4,0),""))&amp;""</f>
      </c>
      <c r="F317" s="208">
        <f>IFERROR(VLOOKUP($B317,'Institution Evaluation'!$A$55:$F$345,6,0),IFERROR(VLOOKUP($B317,'Privacy Analyst Evaluation'!$A$46:$F$120,6,0),""))&amp;""</f>
      </c>
      <c r="G317" s="209"/>
      <c r="H317" s="208" t="str">
        <f>IFERROR(IF($H316+1&gt;'(backend scoring)'!$Q$335,"",$H316+1),"")</f>
      </c>
      <c r="I317" s="208">
        <f>_xlfn.XLOOKUP($H317,'(backend scoring)'!$S$2:$S$333,'(backend scoring)'!$A$2:$A$333,"")</f>
      </c>
      <c r="J317" s="208">
        <f>IFERROR(VLOOKUP($I317,'Institution Evaluation'!$A$55:$F$345,2,0),IFERROR(VLOOKUP($I317,'Privacy Analyst Evaluation'!$A$46:$F$120,2,0),""))</f>
      </c>
      <c r="K317" s="208">
        <f>IFERROR(VLOOKUP($I317,'Institution Evaluation'!$A$55:$F$345,3,0),IFERROR(VLOOKUP($I317,'Privacy Analyst Evaluation'!$A$46:$F$120,3,0),""))&amp;""</f>
      </c>
      <c r="L317" s="208">
        <f>IFERROR(VLOOKUP($I317,'Institution Evaluation'!$A$55:$F$345,4,0),IFERROR(VLOOKUP($I317,'Privacy Analyst Evaluation'!$A$46:$F$120,4,0),""))&amp;""</f>
      </c>
      <c r="M317" s="208">
        <f>IFERROR(VLOOKUP($I317,'Institution Evaluation'!$A$55:$F$345,6,0),IFERROR(VLOOKUP($I317,'Privacy Analyst Evaluation'!$A$46:$F$120,6,0),""))&amp;""</f>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ht="17" x14ac:dyDescent="0.2">
      <c r="A318" s="208" t="str">
        <f>IFERROR(IF($A317+1&gt;'(backend scoring)'!$T$335,"",$A317+1),"")</f>
      </c>
      <c r="B318" s="208">
        <f>_xlfn.XLOOKUP($A318,'(backend scoring)'!$V$2:$V$333,'(backend scoring)'!$A$2:$A$333,"")</f>
      </c>
      <c r="C318" s="208">
        <f>IFERROR(VLOOKUP($B318,'Institution Evaluation'!$A$55:$F$345,2,0),IFERROR(VLOOKUP($B318,'Privacy Analyst Evaluation'!$A$46:$F$120,2,0),""))&amp;""</f>
      </c>
      <c r="D318" s="208">
        <f>IFERROR(VLOOKUP($B318,'Institution Evaluation'!$A$55:$F$345,3,0),IFERROR(VLOOKUP($B318,'Privacy Analyst Evaluation'!$A$46:$F$120,3,0),""))&amp;""</f>
      </c>
      <c r="E318" s="208">
        <f>IFERROR(VLOOKUP($B318,'Institution Evaluation'!$A$55:$F$345,4,0),IFERROR(VLOOKUP($B318,'Privacy Analyst Evaluation'!$A$46:$F$120,4,0),""))&amp;""</f>
      </c>
      <c r="F318" s="208">
        <f>IFERROR(VLOOKUP($B318,'Institution Evaluation'!$A$55:$F$345,6,0),IFERROR(VLOOKUP($B318,'Privacy Analyst Evaluation'!$A$46:$F$120,6,0),""))&amp;""</f>
      </c>
      <c r="G318" s="209"/>
      <c r="H318" s="208" t="str">
        <f>IFERROR(IF($H317+1&gt;'(backend scoring)'!$Q$335,"",$H317+1),"")</f>
      </c>
      <c r="I318" s="208">
        <f>_xlfn.XLOOKUP($H318,'(backend scoring)'!$S$2:$S$333,'(backend scoring)'!$A$2:$A$333,"")</f>
      </c>
      <c r="J318" s="208">
        <f>IFERROR(VLOOKUP($I318,'Institution Evaluation'!$A$55:$F$345,2,0),IFERROR(VLOOKUP($I318,'Privacy Analyst Evaluation'!$A$46:$F$120,2,0),""))</f>
      </c>
      <c r="K318" s="208">
        <f>IFERROR(VLOOKUP($I318,'Institution Evaluation'!$A$55:$F$345,3,0),IFERROR(VLOOKUP($I318,'Privacy Analyst Evaluation'!$A$46:$F$120,3,0),""))&amp;""</f>
      </c>
      <c r="L318" s="208">
        <f>IFERROR(VLOOKUP($I318,'Institution Evaluation'!$A$55:$F$345,4,0),IFERROR(VLOOKUP($I318,'Privacy Analyst Evaluation'!$A$46:$F$120,4,0),""))&amp;""</f>
      </c>
      <c r="M318" s="208">
        <f>IFERROR(VLOOKUP($I318,'Institution Evaluation'!$A$55:$F$345,6,0),IFERROR(VLOOKUP($I318,'Privacy Analyst Evaluation'!$A$46:$F$120,6,0),""))&amp;""</f>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ht="17" x14ac:dyDescent="0.2">
      <c r="A319" s="208" t="str">
        <f>IFERROR(IF($A318+1&gt;'(backend scoring)'!$T$335,"",$A318+1),"")</f>
      </c>
      <c r="B319" s="208">
        <f>_xlfn.XLOOKUP($A319,'(backend scoring)'!$V$2:$V$333,'(backend scoring)'!$A$2:$A$333,"")</f>
      </c>
      <c r="C319" s="208">
        <f>IFERROR(VLOOKUP($B319,'Institution Evaluation'!$A$55:$F$345,2,0),IFERROR(VLOOKUP($B319,'Privacy Analyst Evaluation'!$A$46:$F$120,2,0),""))&amp;""</f>
      </c>
      <c r="D319" s="208">
        <f>IFERROR(VLOOKUP($B319,'Institution Evaluation'!$A$55:$F$345,3,0),IFERROR(VLOOKUP($B319,'Privacy Analyst Evaluation'!$A$46:$F$120,3,0),""))&amp;""</f>
      </c>
      <c r="E319" s="208">
        <f>IFERROR(VLOOKUP($B319,'Institution Evaluation'!$A$55:$F$345,4,0),IFERROR(VLOOKUP($B319,'Privacy Analyst Evaluation'!$A$46:$F$120,4,0),""))&amp;""</f>
      </c>
      <c r="F319" s="208">
        <f>IFERROR(VLOOKUP($B319,'Institution Evaluation'!$A$55:$F$345,6,0),IFERROR(VLOOKUP($B319,'Privacy Analyst Evaluation'!$A$46:$F$120,6,0),""))&amp;""</f>
      </c>
      <c r="G319" s="209"/>
      <c r="H319" s="208" t="str">
        <f>IFERROR(IF($H318+1&gt;'(backend scoring)'!$Q$335,"",$H318+1),"")</f>
      </c>
      <c r="I319" s="208">
        <f>_xlfn.XLOOKUP($H319,'(backend scoring)'!$S$2:$S$333,'(backend scoring)'!$A$2:$A$333,"")</f>
      </c>
      <c r="J319" s="208">
        <f>IFERROR(VLOOKUP($I319,'Institution Evaluation'!$A$55:$F$345,2,0),IFERROR(VLOOKUP($I319,'Privacy Analyst Evaluation'!$A$46:$F$120,2,0),""))</f>
      </c>
      <c r="K319" s="208">
        <f>IFERROR(VLOOKUP($I319,'Institution Evaluation'!$A$55:$F$345,3,0),IFERROR(VLOOKUP($I319,'Privacy Analyst Evaluation'!$A$46:$F$120,3,0),""))&amp;""</f>
      </c>
      <c r="L319" s="208">
        <f>IFERROR(VLOOKUP($I319,'Institution Evaluation'!$A$55:$F$345,4,0),IFERROR(VLOOKUP($I319,'Privacy Analyst Evaluation'!$A$46:$F$120,4,0),""))&amp;""</f>
      </c>
      <c r="M319" s="208">
        <f>IFERROR(VLOOKUP($I319,'Institution Evaluation'!$A$55:$F$345,6,0),IFERROR(VLOOKUP($I319,'Privacy Analyst Evaluation'!$A$46:$F$120,6,0),""))&amp;""</f>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ht="17" x14ac:dyDescent="0.2">
      <c r="A320" s="208" t="str">
        <f>IFERROR(IF($A319+1&gt;'(backend scoring)'!$T$335,"",$A319+1),"")</f>
      </c>
      <c r="B320" s="208">
        <f>_xlfn.XLOOKUP($A320,'(backend scoring)'!$V$2:$V$333,'(backend scoring)'!$A$2:$A$333,"")</f>
      </c>
      <c r="C320" s="208">
        <f>IFERROR(VLOOKUP($B320,'Institution Evaluation'!$A$55:$F$345,2,0),IFERROR(VLOOKUP($B320,'Privacy Analyst Evaluation'!$A$46:$F$120,2,0),""))&amp;""</f>
      </c>
      <c r="D320" s="208">
        <f>IFERROR(VLOOKUP($B320,'Institution Evaluation'!$A$55:$F$345,3,0),IFERROR(VLOOKUP($B320,'Privacy Analyst Evaluation'!$A$46:$F$120,3,0),""))&amp;""</f>
      </c>
      <c r="E320" s="208">
        <f>IFERROR(VLOOKUP($B320,'Institution Evaluation'!$A$55:$F$345,4,0),IFERROR(VLOOKUP($B320,'Privacy Analyst Evaluation'!$A$46:$F$120,4,0),""))&amp;""</f>
      </c>
      <c r="F320" s="208">
        <f>IFERROR(VLOOKUP($B320,'Institution Evaluation'!$A$55:$F$345,6,0),IFERROR(VLOOKUP($B320,'Privacy Analyst Evaluation'!$A$46:$F$120,6,0),""))&amp;""</f>
      </c>
      <c r="G320" s="209"/>
      <c r="H320" s="208" t="str">
        <f>IFERROR(IF($H319+1&gt;'(backend scoring)'!$Q$335,"",$H319+1),"")</f>
      </c>
      <c r="I320" s="208">
        <f>_xlfn.XLOOKUP($H320,'(backend scoring)'!$S$2:$S$333,'(backend scoring)'!$A$2:$A$333,"")</f>
      </c>
      <c r="J320" s="208">
        <f>IFERROR(VLOOKUP($I320,'Institution Evaluation'!$A$55:$F$345,2,0),IFERROR(VLOOKUP($I320,'Privacy Analyst Evaluation'!$A$46:$F$120,2,0),""))</f>
      </c>
      <c r="K320" s="208">
        <f>IFERROR(VLOOKUP($I320,'Institution Evaluation'!$A$55:$F$345,3,0),IFERROR(VLOOKUP($I320,'Privacy Analyst Evaluation'!$A$46:$F$120,3,0),""))&amp;""</f>
      </c>
      <c r="L320" s="208">
        <f>IFERROR(VLOOKUP($I320,'Institution Evaluation'!$A$55:$F$345,4,0),IFERROR(VLOOKUP($I320,'Privacy Analyst Evaluation'!$A$46:$F$120,4,0),""))&amp;""</f>
      </c>
      <c r="M320" s="208">
        <f>IFERROR(VLOOKUP($I320,'Institution Evaluation'!$A$55:$F$345,6,0),IFERROR(VLOOKUP($I320,'Privacy Analyst Evaluation'!$A$46:$F$120,6,0),""))&amp;""</f>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ht="17" x14ac:dyDescent="0.2">
      <c r="A321" s="208" t="str">
        <f>IFERROR(IF($A320+1&gt;'(backend scoring)'!$T$335,"",$A320+1),"")</f>
      </c>
      <c r="B321" s="208">
        <f>_xlfn.XLOOKUP($A321,'(backend scoring)'!$V$2:$V$333,'(backend scoring)'!$A$2:$A$333,"")</f>
      </c>
      <c r="C321" s="208">
        <f>IFERROR(VLOOKUP($B321,'Institution Evaluation'!$A$55:$F$345,2,0),IFERROR(VLOOKUP($B321,'Privacy Analyst Evaluation'!$A$46:$F$120,2,0),""))&amp;""</f>
      </c>
      <c r="D321" s="208">
        <f>IFERROR(VLOOKUP($B321,'Institution Evaluation'!$A$55:$F$345,3,0),IFERROR(VLOOKUP($B321,'Privacy Analyst Evaluation'!$A$46:$F$120,3,0),""))&amp;""</f>
      </c>
      <c r="E321" s="208">
        <f>IFERROR(VLOOKUP($B321,'Institution Evaluation'!$A$55:$F$345,4,0),IFERROR(VLOOKUP($B321,'Privacy Analyst Evaluation'!$A$46:$F$120,4,0),""))&amp;""</f>
      </c>
      <c r="F321" s="208">
        <f>IFERROR(VLOOKUP($B321,'Institution Evaluation'!$A$55:$F$345,6,0),IFERROR(VLOOKUP($B321,'Privacy Analyst Evaluation'!$A$46:$F$120,6,0),""))&amp;""</f>
      </c>
      <c r="G321" s="209"/>
      <c r="H321" s="208" t="str">
        <f>IFERROR(IF($H320+1&gt;'(backend scoring)'!$Q$335,"",$H320+1),"")</f>
      </c>
      <c r="I321" s="208">
        <f>_xlfn.XLOOKUP($H321,'(backend scoring)'!$S$2:$S$333,'(backend scoring)'!$A$2:$A$333,"")</f>
      </c>
      <c r="J321" s="208">
        <f>IFERROR(VLOOKUP($I321,'Institution Evaluation'!$A$55:$F$345,2,0),IFERROR(VLOOKUP($I321,'Privacy Analyst Evaluation'!$A$46:$F$120,2,0),""))</f>
      </c>
      <c r="K321" s="208">
        <f>IFERROR(VLOOKUP($I321,'Institution Evaluation'!$A$55:$F$345,3,0),IFERROR(VLOOKUP($I321,'Privacy Analyst Evaluation'!$A$46:$F$120,3,0),""))&amp;""</f>
      </c>
      <c r="L321" s="208">
        <f>IFERROR(VLOOKUP($I321,'Institution Evaluation'!$A$55:$F$345,4,0),IFERROR(VLOOKUP($I321,'Privacy Analyst Evaluation'!$A$46:$F$120,4,0),""))&amp;""</f>
      </c>
      <c r="M321" s="208">
        <f>IFERROR(VLOOKUP($I321,'Institution Evaluation'!$A$55:$F$345,6,0),IFERROR(VLOOKUP($I321,'Privacy Analyst Evaluation'!$A$46:$F$120,6,0),""))&amp;""</f>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ht="17" x14ac:dyDescent="0.2">
      <c r="A322" s="208" t="str">
        <f>IFERROR(IF($A321+1&gt;'(backend scoring)'!$T$335,"",$A321+1),"")</f>
      </c>
      <c r="B322" s="208">
        <f>_xlfn.XLOOKUP($A322,'(backend scoring)'!$V$2:$V$333,'(backend scoring)'!$A$2:$A$333,"")</f>
      </c>
      <c r="C322" s="208">
        <f>IFERROR(VLOOKUP($B322,'Institution Evaluation'!$A$55:$F$345,2,0),IFERROR(VLOOKUP($B322,'Privacy Analyst Evaluation'!$A$46:$F$120,2,0),""))&amp;""</f>
      </c>
      <c r="D322" s="208">
        <f>IFERROR(VLOOKUP($B322,'Institution Evaluation'!$A$55:$F$345,3,0),IFERROR(VLOOKUP($B322,'Privacy Analyst Evaluation'!$A$46:$F$120,3,0),""))&amp;""</f>
      </c>
      <c r="E322" s="208">
        <f>IFERROR(VLOOKUP($B322,'Institution Evaluation'!$A$55:$F$345,4,0),IFERROR(VLOOKUP($B322,'Privacy Analyst Evaluation'!$A$46:$F$120,4,0),""))&amp;""</f>
      </c>
      <c r="F322" s="208">
        <f>IFERROR(VLOOKUP($B322,'Institution Evaluation'!$A$55:$F$345,6,0),IFERROR(VLOOKUP($B322,'Privacy Analyst Evaluation'!$A$46:$F$120,6,0),""))&amp;""</f>
      </c>
      <c r="G322" s="209"/>
      <c r="H322" s="208" t="str">
        <f>IFERROR(IF($H321+1&gt;'(backend scoring)'!$Q$335,"",$H321+1),"")</f>
      </c>
      <c r="I322" s="208">
        <f>_xlfn.XLOOKUP($H322,'(backend scoring)'!$S$2:$S$333,'(backend scoring)'!$A$2:$A$333,"")</f>
      </c>
      <c r="J322" s="208">
        <f>IFERROR(VLOOKUP($I322,'Institution Evaluation'!$A$55:$F$345,2,0),IFERROR(VLOOKUP($I322,'Privacy Analyst Evaluation'!$A$46:$F$120,2,0),""))</f>
      </c>
      <c r="K322" s="208">
        <f>IFERROR(VLOOKUP($I322,'Institution Evaluation'!$A$55:$F$345,3,0),IFERROR(VLOOKUP($I322,'Privacy Analyst Evaluation'!$A$46:$F$120,3,0),""))&amp;""</f>
      </c>
      <c r="L322" s="208">
        <f>IFERROR(VLOOKUP($I322,'Institution Evaluation'!$A$55:$F$345,4,0),IFERROR(VLOOKUP($I322,'Privacy Analyst Evaluation'!$A$46:$F$120,4,0),""))&amp;""</f>
      </c>
      <c r="M322" s="208">
        <f>IFERROR(VLOOKUP($I322,'Institution Evaluation'!$A$55:$F$345,6,0),IFERROR(VLOOKUP($I322,'Privacy Analyst Evaluation'!$A$46:$F$120,6,0),""))&amp;""</f>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ht="17" x14ac:dyDescent="0.2">
      <c r="A323" s="208" t="str">
        <f>IFERROR(IF($A322+1&gt;'(backend scoring)'!$T$335,"",$A322+1),"")</f>
      </c>
      <c r="B323" s="208">
        <f>_xlfn.XLOOKUP($A323,'(backend scoring)'!$V$2:$V$333,'(backend scoring)'!$A$2:$A$333,"")</f>
      </c>
      <c r="C323" s="208">
        <f>IFERROR(VLOOKUP($B323,'Institution Evaluation'!$A$55:$F$345,2,0),IFERROR(VLOOKUP($B323,'Privacy Analyst Evaluation'!$A$46:$F$120,2,0),""))&amp;""</f>
      </c>
      <c r="D323" s="208">
        <f>IFERROR(VLOOKUP($B323,'Institution Evaluation'!$A$55:$F$345,3,0),IFERROR(VLOOKUP($B323,'Privacy Analyst Evaluation'!$A$46:$F$120,3,0),""))&amp;""</f>
      </c>
      <c r="E323" s="208">
        <f>IFERROR(VLOOKUP($B323,'Institution Evaluation'!$A$55:$F$345,4,0),IFERROR(VLOOKUP($B323,'Privacy Analyst Evaluation'!$A$46:$F$120,4,0),""))&amp;""</f>
      </c>
      <c r="F323" s="208">
        <f>IFERROR(VLOOKUP($B323,'Institution Evaluation'!$A$55:$F$345,6,0),IFERROR(VLOOKUP($B323,'Privacy Analyst Evaluation'!$A$46:$F$120,6,0),""))&amp;""</f>
      </c>
      <c r="G323" s="209"/>
      <c r="H323" s="208" t="str">
        <f>IFERROR(IF($H322+1&gt;'(backend scoring)'!$Q$335,"",$H322+1),"")</f>
      </c>
      <c r="I323" s="208">
        <f>_xlfn.XLOOKUP($H323,'(backend scoring)'!$S$2:$S$333,'(backend scoring)'!$A$2:$A$333,"")</f>
      </c>
      <c r="J323" s="208">
        <f>IFERROR(VLOOKUP($I323,'Institution Evaluation'!$A$55:$F$345,2,0),IFERROR(VLOOKUP($I323,'Privacy Analyst Evaluation'!$A$46:$F$120,2,0),""))</f>
      </c>
      <c r="K323" s="208">
        <f>IFERROR(VLOOKUP($I323,'Institution Evaluation'!$A$55:$F$345,3,0),IFERROR(VLOOKUP($I323,'Privacy Analyst Evaluation'!$A$46:$F$120,3,0),""))&amp;""</f>
      </c>
      <c r="L323" s="208">
        <f>IFERROR(VLOOKUP($I323,'Institution Evaluation'!$A$55:$F$345,4,0),IFERROR(VLOOKUP($I323,'Privacy Analyst Evaluation'!$A$46:$F$120,4,0),""))&amp;""</f>
      </c>
      <c r="M323" s="208">
        <f>IFERROR(VLOOKUP($I323,'Institution Evaluation'!$A$55:$F$345,6,0),IFERROR(VLOOKUP($I323,'Privacy Analyst Evaluation'!$A$46:$F$120,6,0),""))&amp;""</f>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ht="17" x14ac:dyDescent="0.2">
      <c r="A324" s="208" t="str">
        <f>IFERROR(IF($A323+1&gt;'(backend scoring)'!$T$335,"",$A323+1),"")</f>
      </c>
      <c r="B324" s="208">
        <f>_xlfn.XLOOKUP($A324,'(backend scoring)'!$V$2:$V$333,'(backend scoring)'!$A$2:$A$333,"")</f>
      </c>
      <c r="C324" s="208">
        <f>IFERROR(VLOOKUP($B324,'Institution Evaluation'!$A$55:$F$345,2,0),IFERROR(VLOOKUP($B324,'Privacy Analyst Evaluation'!$A$46:$F$120,2,0),""))&amp;""</f>
      </c>
      <c r="D324" s="208">
        <f>IFERROR(VLOOKUP($B324,'Institution Evaluation'!$A$55:$F$345,3,0),IFERROR(VLOOKUP($B324,'Privacy Analyst Evaluation'!$A$46:$F$120,3,0),""))&amp;""</f>
      </c>
      <c r="E324" s="208">
        <f>IFERROR(VLOOKUP($B324,'Institution Evaluation'!$A$55:$F$345,4,0),IFERROR(VLOOKUP($B324,'Privacy Analyst Evaluation'!$A$46:$F$120,4,0),""))&amp;""</f>
      </c>
      <c r="F324" s="208">
        <f>IFERROR(VLOOKUP($B324,'Institution Evaluation'!$A$55:$F$345,6,0),IFERROR(VLOOKUP($B324,'Privacy Analyst Evaluation'!$A$46:$F$120,6,0),""))&amp;""</f>
      </c>
      <c r="G324" s="209"/>
      <c r="H324" s="208" t="str">
        <f>IFERROR(IF($H323+1&gt;'(backend scoring)'!$Q$335,"",$H323+1),"")</f>
      </c>
      <c r="I324" s="208">
        <f>_xlfn.XLOOKUP($H324,'(backend scoring)'!$S$2:$S$333,'(backend scoring)'!$A$2:$A$333,"")</f>
      </c>
      <c r="J324" s="208">
        <f>IFERROR(VLOOKUP($I324,'Institution Evaluation'!$A$55:$F$345,2,0),IFERROR(VLOOKUP($I324,'Privacy Analyst Evaluation'!$A$46:$F$120,2,0),""))</f>
      </c>
      <c r="K324" s="208">
        <f>IFERROR(VLOOKUP($I324,'Institution Evaluation'!$A$55:$F$345,3,0),IFERROR(VLOOKUP($I324,'Privacy Analyst Evaluation'!$A$46:$F$120,3,0),""))&amp;""</f>
      </c>
      <c r="L324" s="208">
        <f>IFERROR(VLOOKUP($I324,'Institution Evaluation'!$A$55:$F$345,4,0),IFERROR(VLOOKUP($I324,'Privacy Analyst Evaluation'!$A$46:$F$120,4,0),""))&amp;""</f>
      </c>
      <c r="M324" s="208">
        <f>IFERROR(VLOOKUP($I324,'Institution Evaluation'!$A$55:$F$345,6,0),IFERROR(VLOOKUP($I324,'Privacy Analyst Evaluation'!$A$46:$F$120,6,0),""))&amp;""</f>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ht="17" x14ac:dyDescent="0.2">
      <c r="A325" s="208" t="str">
        <f>IFERROR(IF($A324+1&gt;'(backend scoring)'!$T$335,"",$A324+1),"")</f>
      </c>
      <c r="B325" s="208">
        <f>_xlfn.XLOOKUP($A325,'(backend scoring)'!$V$2:$V$333,'(backend scoring)'!$A$2:$A$333,"")</f>
      </c>
      <c r="C325" s="208">
        <f>IFERROR(VLOOKUP($B325,'Institution Evaluation'!$A$55:$F$345,2,0),IFERROR(VLOOKUP($B325,'Privacy Analyst Evaluation'!$A$46:$F$120,2,0),""))&amp;""</f>
      </c>
      <c r="D325" s="208">
        <f>IFERROR(VLOOKUP($B325,'Institution Evaluation'!$A$55:$F$345,3,0),IFERROR(VLOOKUP($B325,'Privacy Analyst Evaluation'!$A$46:$F$120,3,0),""))&amp;""</f>
      </c>
      <c r="E325" s="208">
        <f>IFERROR(VLOOKUP($B325,'Institution Evaluation'!$A$55:$F$345,4,0),IFERROR(VLOOKUP($B325,'Privacy Analyst Evaluation'!$A$46:$F$120,4,0),""))&amp;""</f>
      </c>
      <c r="F325" s="208">
        <f>IFERROR(VLOOKUP($B325,'Institution Evaluation'!$A$55:$F$345,6,0),IFERROR(VLOOKUP($B325,'Privacy Analyst Evaluation'!$A$46:$F$120,6,0),""))&amp;""</f>
      </c>
      <c r="G325" s="209"/>
      <c r="H325" s="208" t="str">
        <f>IFERROR(IF($H324+1&gt;'(backend scoring)'!$Q$335,"",$H324+1),"")</f>
      </c>
      <c r="I325" s="208">
        <f>_xlfn.XLOOKUP($H325,'(backend scoring)'!$S$2:$S$333,'(backend scoring)'!$A$2:$A$333,"")</f>
      </c>
      <c r="J325" s="208">
        <f>IFERROR(VLOOKUP($I325,'Institution Evaluation'!$A$55:$F$345,2,0),IFERROR(VLOOKUP($I325,'Privacy Analyst Evaluation'!$A$46:$F$120,2,0),""))</f>
      </c>
      <c r="K325" s="208">
        <f>IFERROR(VLOOKUP($I325,'Institution Evaluation'!$A$55:$F$345,3,0),IFERROR(VLOOKUP($I325,'Privacy Analyst Evaluation'!$A$46:$F$120,3,0),""))&amp;""</f>
      </c>
      <c r="L325" s="208">
        <f>IFERROR(VLOOKUP($I325,'Institution Evaluation'!$A$55:$F$345,4,0),IFERROR(VLOOKUP($I325,'Privacy Analyst Evaluation'!$A$46:$F$120,4,0),""))&amp;""</f>
      </c>
      <c r="M325" s="208">
        <f>IFERROR(VLOOKUP($I325,'Institution Evaluation'!$A$55:$F$345,6,0),IFERROR(VLOOKUP($I325,'Privacy Analyst Evaluation'!$A$46:$F$120,6,0),""))&amp;""</f>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ht="17" x14ac:dyDescent="0.2">
      <c r="A326" s="208" t="str">
        <f>IFERROR(IF($A325+1&gt;'(backend scoring)'!$T$335,"",$A325+1),"")</f>
      </c>
      <c r="B326" s="208">
        <f>_xlfn.XLOOKUP($A326,'(backend scoring)'!$V$2:$V$333,'(backend scoring)'!$A$2:$A$333,"")</f>
      </c>
      <c r="C326" s="208">
        <f>IFERROR(VLOOKUP($B326,'Institution Evaluation'!$A$55:$F$345,2,0),IFERROR(VLOOKUP($B326,'Privacy Analyst Evaluation'!$A$46:$F$120,2,0),""))&amp;""</f>
      </c>
      <c r="D326" s="208">
        <f>IFERROR(VLOOKUP($B326,'Institution Evaluation'!$A$55:$F$345,3,0),IFERROR(VLOOKUP($B326,'Privacy Analyst Evaluation'!$A$46:$F$120,3,0),""))&amp;""</f>
      </c>
      <c r="E326" s="208">
        <f>IFERROR(VLOOKUP($B326,'Institution Evaluation'!$A$55:$F$345,4,0),IFERROR(VLOOKUP($B326,'Privacy Analyst Evaluation'!$A$46:$F$120,4,0),""))&amp;""</f>
      </c>
      <c r="F326" s="208">
        <f>IFERROR(VLOOKUP($B326,'Institution Evaluation'!$A$55:$F$345,6,0),IFERROR(VLOOKUP($B326,'Privacy Analyst Evaluation'!$A$46:$F$120,6,0),""))&amp;""</f>
      </c>
      <c r="G326" s="209"/>
      <c r="H326" s="208" t="str">
        <f>IFERROR(IF($H325+1&gt;'(backend scoring)'!$Q$335,"",$H325+1),"")</f>
      </c>
      <c r="I326" s="208">
        <f>_xlfn.XLOOKUP($H326,'(backend scoring)'!$S$2:$S$333,'(backend scoring)'!$A$2:$A$333,"")</f>
      </c>
      <c r="J326" s="208">
        <f>IFERROR(VLOOKUP($I326,'Institution Evaluation'!$A$55:$F$345,2,0),IFERROR(VLOOKUP($I326,'Privacy Analyst Evaluation'!$A$46:$F$120,2,0),""))</f>
      </c>
      <c r="K326" s="208">
        <f>IFERROR(VLOOKUP($I326,'Institution Evaluation'!$A$55:$F$345,3,0),IFERROR(VLOOKUP($I326,'Privacy Analyst Evaluation'!$A$46:$F$120,3,0),""))&amp;""</f>
      </c>
      <c r="L326" s="208">
        <f>IFERROR(VLOOKUP($I326,'Institution Evaluation'!$A$55:$F$345,4,0),IFERROR(VLOOKUP($I326,'Privacy Analyst Evaluation'!$A$46:$F$120,4,0),""))&amp;""</f>
      </c>
      <c r="M326" s="208">
        <f>IFERROR(VLOOKUP($I326,'Institution Evaluation'!$A$55:$F$345,6,0),IFERROR(VLOOKUP($I326,'Privacy Analyst Evaluation'!$A$46:$F$120,6,0),""))&amp;""</f>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ht="17" x14ac:dyDescent="0.2">
      <c r="A327" s="208" t="str">
        <f>IFERROR(IF($A326+1&gt;'(backend scoring)'!$T$335,"",$A326+1),"")</f>
      </c>
      <c r="B327" s="208">
        <f>_xlfn.XLOOKUP($A327,'(backend scoring)'!$V$2:$V$333,'(backend scoring)'!$A$2:$A$333,"")</f>
      </c>
      <c r="C327" s="208">
        <f>IFERROR(VLOOKUP($B327,'Institution Evaluation'!$A$55:$F$345,2,0),IFERROR(VLOOKUP($B327,'Privacy Analyst Evaluation'!$A$46:$F$120,2,0),""))&amp;""</f>
      </c>
      <c r="D327" s="208">
        <f>IFERROR(VLOOKUP($B327,'Institution Evaluation'!$A$55:$F$345,3,0),IFERROR(VLOOKUP($B327,'Privacy Analyst Evaluation'!$A$46:$F$120,3,0),""))&amp;""</f>
      </c>
      <c r="E327" s="208">
        <f>IFERROR(VLOOKUP($B327,'Institution Evaluation'!$A$55:$F$345,4,0),IFERROR(VLOOKUP($B327,'Privacy Analyst Evaluation'!$A$46:$F$120,4,0),""))&amp;""</f>
      </c>
      <c r="F327" s="208">
        <f>IFERROR(VLOOKUP($B327,'Institution Evaluation'!$A$55:$F$345,6,0),IFERROR(VLOOKUP($B327,'Privacy Analyst Evaluation'!$A$46:$F$120,6,0),""))&amp;""</f>
      </c>
      <c r="G327" s="209"/>
      <c r="H327" s="208" t="str">
        <f>IFERROR(IF($H326+1&gt;'(backend scoring)'!$Q$335,"",$H326+1),"")</f>
      </c>
      <c r="I327" s="208">
        <f>_xlfn.XLOOKUP($H327,'(backend scoring)'!$S$2:$S$333,'(backend scoring)'!$A$2:$A$333,"")</f>
      </c>
      <c r="J327" s="208">
        <f>IFERROR(VLOOKUP($I327,'Institution Evaluation'!$A$55:$F$345,2,0),IFERROR(VLOOKUP($I327,'Privacy Analyst Evaluation'!$A$46:$F$120,2,0),""))</f>
      </c>
      <c r="K327" s="208">
        <f>IFERROR(VLOOKUP($I327,'Institution Evaluation'!$A$55:$F$345,3,0),IFERROR(VLOOKUP($I327,'Privacy Analyst Evaluation'!$A$46:$F$120,3,0),""))&amp;""</f>
      </c>
      <c r="L327" s="208">
        <f>IFERROR(VLOOKUP($I327,'Institution Evaluation'!$A$55:$F$345,4,0),IFERROR(VLOOKUP($I327,'Privacy Analyst Evaluation'!$A$46:$F$120,4,0),""))&amp;""</f>
      </c>
      <c r="M327" s="208">
        <f>IFERROR(VLOOKUP($I327,'Institution Evaluation'!$A$55:$F$345,6,0),IFERROR(VLOOKUP($I327,'Privacy Analyst Evaluation'!$A$46:$F$120,6,0),""))&amp;""</f>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ht="17" x14ac:dyDescent="0.2">
      <c r="A328" s="208" t="str">
        <f>IFERROR(IF($A327+1&gt;'(backend scoring)'!$T$335,"",$A327+1),"")</f>
      </c>
      <c r="B328" s="208">
        <f>_xlfn.XLOOKUP($A328,'(backend scoring)'!$V$2:$V$333,'(backend scoring)'!$A$2:$A$333,"")</f>
      </c>
      <c r="C328" s="208">
        <f>IFERROR(VLOOKUP($B328,'Institution Evaluation'!$A$55:$F$345,2,0),IFERROR(VLOOKUP($B328,'Privacy Analyst Evaluation'!$A$46:$F$120,2,0),""))&amp;""</f>
      </c>
      <c r="D328" s="208">
        <f>IFERROR(VLOOKUP($B328,'Institution Evaluation'!$A$55:$F$345,3,0),IFERROR(VLOOKUP($B328,'Privacy Analyst Evaluation'!$A$46:$F$120,3,0),""))&amp;""</f>
      </c>
      <c r="E328" s="208">
        <f>IFERROR(VLOOKUP($B328,'Institution Evaluation'!$A$55:$F$345,4,0),IFERROR(VLOOKUP($B328,'Privacy Analyst Evaluation'!$A$46:$F$120,4,0),""))&amp;""</f>
      </c>
      <c r="F328" s="208">
        <f>IFERROR(VLOOKUP($B328,'Institution Evaluation'!$A$55:$F$345,6,0),IFERROR(VLOOKUP($B328,'Privacy Analyst Evaluation'!$A$46:$F$120,6,0),""))&amp;""</f>
      </c>
      <c r="G328" s="209"/>
      <c r="H328" s="208" t="str">
        <f>IFERROR(IF($H327+1&gt;'(backend scoring)'!$Q$335,"",$H327+1),"")</f>
      </c>
      <c r="I328" s="208">
        <f>_xlfn.XLOOKUP($H328,'(backend scoring)'!$S$2:$S$333,'(backend scoring)'!$A$2:$A$333,"")</f>
      </c>
      <c r="J328" s="208">
        <f>IFERROR(VLOOKUP($I328,'Institution Evaluation'!$A$55:$F$345,2,0),IFERROR(VLOOKUP($I328,'Privacy Analyst Evaluation'!$A$46:$F$120,2,0),""))</f>
      </c>
      <c r="K328" s="208">
        <f>IFERROR(VLOOKUP($I328,'Institution Evaluation'!$A$55:$F$345,3,0),IFERROR(VLOOKUP($I328,'Privacy Analyst Evaluation'!$A$46:$F$120,3,0),""))&amp;""</f>
      </c>
      <c r="L328" s="208">
        <f>IFERROR(VLOOKUP($I328,'Institution Evaluation'!$A$55:$F$345,4,0),IFERROR(VLOOKUP($I328,'Privacy Analyst Evaluation'!$A$46:$F$120,4,0),""))&amp;""</f>
      </c>
      <c r="M328" s="208">
        <f>IFERROR(VLOOKUP($I328,'Institution Evaluation'!$A$55:$F$345,6,0),IFERROR(VLOOKUP($I328,'Privacy Analyst Evaluation'!$A$46:$F$120,6,0),""))&amp;""</f>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ht="17" x14ac:dyDescent="0.2">
      <c r="A329" s="208" t="str">
        <f>IFERROR(IF($A328+1&gt;'(backend scoring)'!$T$335,"",$A328+1),"")</f>
      </c>
      <c r="B329" s="208">
        <f>_xlfn.XLOOKUP($A329,'(backend scoring)'!$V$2:$V$333,'(backend scoring)'!$A$2:$A$333,"")</f>
      </c>
      <c r="C329" s="208">
        <f>IFERROR(VLOOKUP($B329,'Institution Evaluation'!$A$55:$F$345,2,0),IFERROR(VLOOKUP($B329,'Privacy Analyst Evaluation'!$A$46:$F$120,2,0),""))&amp;""</f>
      </c>
      <c r="D329" s="208">
        <f>IFERROR(VLOOKUP($B329,'Institution Evaluation'!$A$55:$F$345,3,0),IFERROR(VLOOKUP($B329,'Privacy Analyst Evaluation'!$A$46:$F$120,3,0),""))&amp;""</f>
      </c>
      <c r="E329" s="208">
        <f>IFERROR(VLOOKUP($B329,'Institution Evaluation'!$A$55:$F$345,4,0),IFERROR(VLOOKUP($B329,'Privacy Analyst Evaluation'!$A$46:$F$120,4,0),""))&amp;""</f>
      </c>
      <c r="F329" s="208">
        <f>IFERROR(VLOOKUP($B329,'Institution Evaluation'!$A$55:$F$345,6,0),IFERROR(VLOOKUP($B329,'Privacy Analyst Evaluation'!$A$46:$F$120,6,0),""))&amp;""</f>
      </c>
      <c r="G329" s="209"/>
      <c r="H329" s="208" t="str">
        <f>IFERROR(IF($H328+1&gt;'(backend scoring)'!$Q$335,"",$H328+1),"")</f>
      </c>
      <c r="I329" s="208">
        <f>_xlfn.XLOOKUP($H329,'(backend scoring)'!$S$2:$S$333,'(backend scoring)'!$A$2:$A$333,"")</f>
      </c>
      <c r="J329" s="208">
        <f>IFERROR(VLOOKUP($I329,'Institution Evaluation'!$A$55:$F$345,2,0),IFERROR(VLOOKUP($I329,'Privacy Analyst Evaluation'!$A$46:$F$120,2,0),""))</f>
      </c>
      <c r="K329" s="208">
        <f>IFERROR(VLOOKUP($I329,'Institution Evaluation'!$A$55:$F$345,3,0),IFERROR(VLOOKUP($I329,'Privacy Analyst Evaluation'!$A$46:$F$120,3,0),""))&amp;""</f>
      </c>
      <c r="L329" s="208">
        <f>IFERROR(VLOOKUP($I329,'Institution Evaluation'!$A$55:$F$345,4,0),IFERROR(VLOOKUP($I329,'Privacy Analyst Evaluation'!$A$46:$F$120,4,0),""))&amp;""</f>
      </c>
      <c r="M329" s="208">
        <f>IFERROR(VLOOKUP($I329,'Institution Evaluation'!$A$55:$F$345,6,0),IFERROR(VLOOKUP($I329,'Privacy Analyst Evaluation'!$A$46:$F$120,6,0),""))&amp;""</f>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ht="17" x14ac:dyDescent="0.2">
      <c r="A330" s="208" t="str">
        <f>IFERROR(IF($A329+1&gt;'(backend scoring)'!$T$335,"",$A329+1),"")</f>
      </c>
      <c r="B330" s="208">
        <f>_xlfn.XLOOKUP($A330,'(backend scoring)'!$V$2:$V$333,'(backend scoring)'!$A$2:$A$333,"")</f>
      </c>
      <c r="C330" s="208">
        <f>IFERROR(VLOOKUP($B330,'Institution Evaluation'!$A$55:$F$345,2,0),IFERROR(VLOOKUP($B330,'Privacy Analyst Evaluation'!$A$46:$F$120,2,0),""))&amp;""</f>
      </c>
      <c r="D330" s="208">
        <f>IFERROR(VLOOKUP($B330,'Institution Evaluation'!$A$55:$F$345,3,0),IFERROR(VLOOKUP($B330,'Privacy Analyst Evaluation'!$A$46:$F$120,3,0),""))&amp;""</f>
      </c>
      <c r="E330" s="208">
        <f>IFERROR(VLOOKUP($B330,'Institution Evaluation'!$A$55:$F$345,4,0),IFERROR(VLOOKUP($B330,'Privacy Analyst Evaluation'!$A$46:$F$120,4,0),""))&amp;""</f>
      </c>
      <c r="F330" s="208">
        <f>IFERROR(VLOOKUP($B330,'Institution Evaluation'!$A$55:$F$345,6,0),IFERROR(VLOOKUP($B330,'Privacy Analyst Evaluation'!$A$46:$F$120,6,0),""))&amp;""</f>
      </c>
      <c r="G330" s="209"/>
      <c r="H330" s="208" t="str">
        <f>IFERROR(IF($H329+1&gt;'(backend scoring)'!$Q$335,"",$H329+1),"")</f>
      </c>
      <c r="I330" s="208">
        <f>_xlfn.XLOOKUP($H330,'(backend scoring)'!$S$2:$S$333,'(backend scoring)'!$A$2:$A$333,"")</f>
      </c>
      <c r="J330" s="208">
        <f>IFERROR(VLOOKUP($I330,'Institution Evaluation'!$A$55:$F$345,2,0),IFERROR(VLOOKUP($I330,'Privacy Analyst Evaluation'!$A$46:$F$120,2,0),""))</f>
      </c>
      <c r="K330" s="208">
        <f>IFERROR(VLOOKUP($I330,'Institution Evaluation'!$A$55:$F$345,3,0),IFERROR(VLOOKUP($I330,'Privacy Analyst Evaluation'!$A$46:$F$120,3,0),""))&amp;""</f>
      </c>
      <c r="L330" s="208">
        <f>IFERROR(VLOOKUP($I330,'Institution Evaluation'!$A$55:$F$345,4,0),IFERROR(VLOOKUP($I330,'Privacy Analyst Evaluation'!$A$46:$F$120,4,0),""))&amp;""</f>
      </c>
      <c r="M330" s="208">
        <f>IFERROR(VLOOKUP($I330,'Institution Evaluation'!$A$55:$F$345,6,0),IFERROR(VLOOKUP($I330,'Privacy Analyst Evaluation'!$A$46:$F$120,6,0),""))&amp;""</f>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ht="17" x14ac:dyDescent="0.2">
      <c r="A331" s="208" t="str">
        <f>IFERROR(IF($A330+1&gt;'(backend scoring)'!$T$335,"",$A330+1),"")</f>
      </c>
      <c r="B331" s="208">
        <f>_xlfn.XLOOKUP($A331,'(backend scoring)'!$V$2:$V$333,'(backend scoring)'!$A$2:$A$333,"")</f>
      </c>
      <c r="C331" s="208">
        <f>IFERROR(VLOOKUP($B331,'Institution Evaluation'!$A$55:$F$345,2,0),IFERROR(VLOOKUP($B331,'Privacy Analyst Evaluation'!$A$46:$F$120,2,0),""))&amp;""</f>
      </c>
      <c r="D331" s="208">
        <f>IFERROR(VLOOKUP($B331,'Institution Evaluation'!$A$55:$F$345,3,0),IFERROR(VLOOKUP($B331,'Privacy Analyst Evaluation'!$A$46:$F$120,3,0),""))&amp;""</f>
      </c>
      <c r="E331" s="208">
        <f>IFERROR(VLOOKUP($B331,'Institution Evaluation'!$A$55:$F$345,4,0),IFERROR(VLOOKUP($B331,'Privacy Analyst Evaluation'!$A$46:$F$120,4,0),""))&amp;""</f>
      </c>
      <c r="F331" s="208">
        <f>IFERROR(VLOOKUP($B331,'Institution Evaluation'!$A$55:$F$345,6,0),IFERROR(VLOOKUP($B331,'Privacy Analyst Evaluation'!$A$46:$F$120,6,0),""))&amp;""</f>
      </c>
      <c r="G331" s="209"/>
      <c r="H331" s="208" t="str">
        <f>IFERROR(IF($H330+1&gt;'(backend scoring)'!$Q$335,"",$H330+1),"")</f>
      </c>
      <c r="I331" s="208">
        <f>_xlfn.XLOOKUP($H331,'(backend scoring)'!$S$2:$S$333,'(backend scoring)'!$A$2:$A$333,"")</f>
      </c>
      <c r="J331" s="208">
        <f>IFERROR(VLOOKUP($I331,'Institution Evaluation'!$A$55:$F$345,2,0),IFERROR(VLOOKUP($I331,'Privacy Analyst Evaluation'!$A$46:$F$120,2,0),""))</f>
      </c>
      <c r="K331" s="208">
        <f>IFERROR(VLOOKUP($I331,'Institution Evaluation'!$A$55:$F$345,3,0),IFERROR(VLOOKUP($I331,'Privacy Analyst Evaluation'!$A$46:$F$120,3,0),""))&amp;""</f>
      </c>
      <c r="L331" s="208">
        <f>IFERROR(VLOOKUP($I331,'Institution Evaluation'!$A$55:$F$345,4,0),IFERROR(VLOOKUP($I331,'Privacy Analyst Evaluation'!$A$46:$F$120,4,0),""))&amp;""</f>
      </c>
      <c r="M331" s="208">
        <f>IFERROR(VLOOKUP($I331,'Institution Evaluation'!$A$55:$F$345,6,0),IFERROR(VLOOKUP($I331,'Privacy Analyst Evaluation'!$A$46:$F$120,6,0),""))&amp;""</f>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ht="17" x14ac:dyDescent="0.2">
      <c r="A332" s="208" t="str">
        <f>IFERROR(IF($A331+1&gt;'(backend scoring)'!$T$335,"",$A331+1),"")</f>
      </c>
      <c r="B332" s="208">
        <f>_xlfn.XLOOKUP($A332,'(backend scoring)'!$V$2:$V$333,'(backend scoring)'!$A$2:$A$333,"")</f>
      </c>
      <c r="C332" s="208">
        <f>IFERROR(VLOOKUP($B332,'Institution Evaluation'!$A$55:$F$345,2,0),IFERROR(VLOOKUP($B332,'Privacy Analyst Evaluation'!$A$46:$F$120,2,0),""))&amp;""</f>
      </c>
      <c r="D332" s="208">
        <f>IFERROR(VLOOKUP($B332,'Institution Evaluation'!$A$55:$F$345,3,0),IFERROR(VLOOKUP($B332,'Privacy Analyst Evaluation'!$A$46:$F$120,3,0),""))&amp;""</f>
      </c>
      <c r="E332" s="208">
        <f>IFERROR(VLOOKUP($B332,'Institution Evaluation'!$A$55:$F$345,4,0),IFERROR(VLOOKUP($B332,'Privacy Analyst Evaluation'!$A$46:$F$120,4,0),""))&amp;""</f>
      </c>
      <c r="F332" s="208">
        <f>IFERROR(VLOOKUP($B332,'Institution Evaluation'!$A$55:$F$345,6,0),IFERROR(VLOOKUP($B332,'Privacy Analyst Evaluation'!$A$46:$F$120,6,0),""))&amp;""</f>
      </c>
      <c r="G332" s="209"/>
      <c r="H332" s="208" t="str">
        <f>IFERROR(IF($H331+1&gt;'(backend scoring)'!$Q$335,"",$H331+1),"")</f>
      </c>
      <c r="I332" s="208">
        <f>_xlfn.XLOOKUP($H332,'(backend scoring)'!$S$2:$S$333,'(backend scoring)'!$A$2:$A$333,"")</f>
      </c>
      <c r="J332" s="208">
        <f>IFERROR(VLOOKUP($I332,'Institution Evaluation'!$A$55:$F$345,2,0),IFERROR(VLOOKUP($I332,'Privacy Analyst Evaluation'!$A$46:$F$120,2,0),""))</f>
      </c>
      <c r="K332" s="208">
        <f>IFERROR(VLOOKUP($I332,'Institution Evaluation'!$A$55:$F$345,3,0),IFERROR(VLOOKUP($I332,'Privacy Analyst Evaluation'!$A$46:$F$120,3,0),""))&amp;""</f>
      </c>
      <c r="L332" s="208">
        <f>IFERROR(VLOOKUP($I332,'Institution Evaluation'!$A$55:$F$345,4,0),IFERROR(VLOOKUP($I332,'Privacy Analyst Evaluation'!$A$46:$F$120,4,0),""))&amp;""</f>
      </c>
      <c r="M332" s="208">
        <f>IFERROR(VLOOKUP($I332,'Institution Evaluation'!$A$55:$F$345,6,0),IFERROR(VLOOKUP($I332,'Privacy Analyst Evaluation'!$A$46:$F$120,6,0),""))&amp;""</f>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ht="17" x14ac:dyDescent="0.2">
      <c r="A333" s="208" t="str">
        <f>IFERROR(IF($A332+1&gt;'(backend scoring)'!$T$335,"",$A332+1),"")</f>
      </c>
      <c r="B333" s="208">
        <f>_xlfn.XLOOKUP($A333,'(backend scoring)'!$V$2:$V$333,'(backend scoring)'!$A$2:$A$333,"")</f>
      </c>
      <c r="C333" s="208">
        <f>IFERROR(VLOOKUP($B333,'Institution Evaluation'!$A$55:$F$345,2,0),IFERROR(VLOOKUP($B333,'Privacy Analyst Evaluation'!$A$46:$F$120,2,0),""))&amp;""</f>
      </c>
      <c r="D333" s="208">
        <f>IFERROR(VLOOKUP($B333,'Institution Evaluation'!$A$55:$F$345,3,0),IFERROR(VLOOKUP($B333,'Privacy Analyst Evaluation'!$A$46:$F$120,3,0),""))&amp;""</f>
      </c>
      <c r="E333" s="208">
        <f>IFERROR(VLOOKUP($B333,'Institution Evaluation'!$A$55:$F$345,4,0),IFERROR(VLOOKUP($B333,'Privacy Analyst Evaluation'!$A$46:$F$120,4,0),""))&amp;""</f>
      </c>
      <c r="F333" s="208">
        <f>IFERROR(VLOOKUP($B333,'Institution Evaluation'!$A$55:$F$345,6,0),IFERROR(VLOOKUP($B333,'Privacy Analyst Evaluation'!$A$46:$F$120,6,0),""))&amp;""</f>
      </c>
      <c r="G333" s="209"/>
      <c r="H333" s="208" t="str">
        <f>IFERROR(IF($H332+1&gt;'(backend scoring)'!$Q$335,"",$H332+1),"")</f>
      </c>
      <c r="I333" s="208">
        <f>_xlfn.XLOOKUP($H333,'(backend scoring)'!$S$2:$S$333,'(backend scoring)'!$A$2:$A$333,"")</f>
      </c>
      <c r="J333" s="208">
        <f>IFERROR(VLOOKUP($I333,'Institution Evaluation'!$A$55:$F$345,2,0),IFERROR(VLOOKUP($I333,'Privacy Analyst Evaluation'!$A$46:$F$120,2,0),""))</f>
      </c>
      <c r="K333" s="208">
        <f>IFERROR(VLOOKUP($I333,'Institution Evaluation'!$A$55:$F$345,3,0),IFERROR(VLOOKUP($I333,'Privacy Analyst Evaluation'!$A$46:$F$120,3,0),""))&amp;""</f>
      </c>
      <c r="L333" s="208">
        <f>IFERROR(VLOOKUP($I333,'Institution Evaluation'!$A$55:$F$345,4,0),IFERROR(VLOOKUP($I333,'Privacy Analyst Evaluation'!$A$46:$F$120,4,0),""))&amp;""</f>
      </c>
      <c r="M333" s="208">
        <f>IFERROR(VLOOKUP($I333,'Institution Evaluation'!$A$55:$F$345,6,0),IFERROR(VLOOKUP($I333,'Privacy Analyst Evaluation'!$A$46:$F$120,6,0),""))&amp;""</f>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ht="17" x14ac:dyDescent="0.2">
      <c r="A334" s="208" t="str">
        <f>IFERROR(IF($A333+1&gt;'(backend scoring)'!$T$335,"",$A333+1),"")</f>
      </c>
      <c r="B334" s="208">
        <f>_xlfn.XLOOKUP($A334,'(backend scoring)'!$V$2:$V$333,'(backend scoring)'!$A$2:$A$333,"")</f>
      </c>
      <c r="C334" s="208">
        <f>IFERROR(VLOOKUP($B334,'Institution Evaluation'!$A$55:$F$345,2,0),IFERROR(VLOOKUP($B334,'Privacy Analyst Evaluation'!$A$46:$F$120,2,0),""))&amp;""</f>
      </c>
      <c r="D334" s="208">
        <f>IFERROR(VLOOKUP($B334,'Institution Evaluation'!$A$55:$F$345,3,0),IFERROR(VLOOKUP($B334,'Privacy Analyst Evaluation'!$A$46:$F$120,3,0),""))&amp;""</f>
      </c>
      <c r="E334" s="208">
        <f>IFERROR(VLOOKUP($B334,'Institution Evaluation'!$A$55:$F$345,4,0),IFERROR(VLOOKUP($B334,'Privacy Analyst Evaluation'!$A$46:$F$120,4,0),""))&amp;""</f>
      </c>
      <c r="F334" s="208">
        <f>IFERROR(VLOOKUP($B334,'Institution Evaluation'!$A$55:$F$345,6,0),IFERROR(VLOOKUP($B334,'Privacy Analyst Evaluation'!$A$46:$F$120,6,0),""))&amp;""</f>
      </c>
      <c r="G334" s="209"/>
      <c r="H334" s="208" t="str">
        <f>IFERROR(IF($H333+1&gt;'(backend scoring)'!$Q$335,"",$H333+1),"")</f>
      </c>
      <c r="I334" s="208">
        <f>_xlfn.XLOOKUP($H334,'(backend scoring)'!$S$2:$S$333,'(backend scoring)'!$A$2:$A$333,"")</f>
      </c>
      <c r="J334" s="208">
        <f>IFERROR(VLOOKUP($I334,'Institution Evaluation'!$A$55:$F$345,2,0),IFERROR(VLOOKUP($I334,'Privacy Analyst Evaluation'!$A$46:$F$120,2,0),""))</f>
      </c>
      <c r="K334" s="208">
        <f>IFERROR(VLOOKUP($I334,'Institution Evaluation'!$A$55:$F$345,3,0),IFERROR(VLOOKUP($I334,'Privacy Analyst Evaluation'!$A$46:$F$120,3,0),""))&amp;""</f>
      </c>
      <c r="L334" s="208">
        <f>IFERROR(VLOOKUP($I334,'Institution Evaluation'!$A$55:$F$345,4,0),IFERROR(VLOOKUP($I334,'Privacy Analyst Evaluation'!$A$46:$F$120,4,0),""))&amp;""</f>
      </c>
      <c r="M334" s="208">
        <f>IFERROR(VLOOKUP($I334,'Institution Evaluation'!$A$55:$F$345,6,0),IFERROR(VLOOKUP($I334,'Privacy Analyst Evaluation'!$A$46:$F$120,6,0),""))&amp;""</f>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ht="17" x14ac:dyDescent="0.2">
      <c r="A335" s="208" t="str">
        <f>IFERROR(IF($A334+1&gt;'(backend scoring)'!$T$335,"",$A334+1),"")</f>
      </c>
      <c r="B335" s="208">
        <f>_xlfn.XLOOKUP($A335,'(backend scoring)'!$V$2:$V$333,'(backend scoring)'!$A$2:$A$333,"")</f>
      </c>
      <c r="C335" s="208">
        <f>IFERROR(VLOOKUP($B335,'Institution Evaluation'!$A$55:$F$345,2,0),IFERROR(VLOOKUP($B335,'Privacy Analyst Evaluation'!$A$46:$F$120,2,0),""))&amp;""</f>
      </c>
      <c r="D335" s="208">
        <f>IFERROR(VLOOKUP($B335,'Institution Evaluation'!$A$55:$F$345,3,0),IFERROR(VLOOKUP($B335,'Privacy Analyst Evaluation'!$A$46:$F$120,3,0),""))&amp;""</f>
      </c>
      <c r="E335" s="208">
        <f>IFERROR(VLOOKUP($B335,'Institution Evaluation'!$A$55:$F$345,4,0),IFERROR(VLOOKUP($B335,'Privacy Analyst Evaluation'!$A$46:$F$120,4,0),""))&amp;""</f>
      </c>
      <c r="F335" s="208">
        <f>IFERROR(VLOOKUP($B335,'Institution Evaluation'!$A$55:$F$345,6,0),IFERROR(VLOOKUP($B335,'Privacy Analyst Evaluation'!$A$46:$F$120,6,0),""))&amp;""</f>
      </c>
      <c r="G335" s="209"/>
      <c r="H335" s="208" t="str">
        <f>IFERROR(IF($H334+1&gt;'(backend scoring)'!$Q$335,"",$H334+1),"")</f>
      </c>
      <c r="I335" s="208">
        <f>_xlfn.XLOOKUP($H335,'(backend scoring)'!$S$2:$S$333,'(backend scoring)'!$A$2:$A$333,"")</f>
      </c>
      <c r="J335" s="208">
        <f>IFERROR(VLOOKUP($I335,'Institution Evaluation'!$A$55:$F$345,2,0),IFERROR(VLOOKUP($I335,'Privacy Analyst Evaluation'!$A$46:$F$120,2,0),""))</f>
      </c>
      <c r="K335" s="208">
        <f>IFERROR(VLOOKUP($I335,'Institution Evaluation'!$A$55:$F$345,3,0),IFERROR(VLOOKUP($I335,'Privacy Analyst Evaluation'!$A$46:$F$120,3,0),""))&amp;""</f>
      </c>
      <c r="L335" s="208">
        <f>IFERROR(VLOOKUP($I335,'Institution Evaluation'!$A$55:$F$345,4,0),IFERROR(VLOOKUP($I335,'Privacy Analyst Evaluation'!$A$46:$F$120,4,0),""))&amp;""</f>
      </c>
      <c r="M335" s="208">
        <f>IFERROR(VLOOKUP($I335,'Institution Evaluation'!$A$55:$F$345,6,0),IFERROR(VLOOKUP($I335,'Privacy Analyst Evaluation'!$A$46:$F$120,6,0),""))&amp;""</f>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ht="17" x14ac:dyDescent="0.2">
      <c r="A336" s="208" t="str">
        <f>IFERROR(IF($A335+1&gt;'(backend scoring)'!$T$335,"",$A335+1),"")</f>
      </c>
      <c r="B336" s="208">
        <f>_xlfn.XLOOKUP($A336,'(backend scoring)'!$V$2:$V$333,'(backend scoring)'!$A$2:$A$333,"")</f>
      </c>
      <c r="C336" s="208">
        <f>IFERROR(VLOOKUP($B336,'Institution Evaluation'!$A$55:$F$345,2,0),IFERROR(VLOOKUP($B336,'Privacy Analyst Evaluation'!$A$46:$F$120,2,0),""))&amp;""</f>
      </c>
      <c r="D336" s="208">
        <f>IFERROR(VLOOKUP($B336,'Institution Evaluation'!$A$55:$F$345,3,0),IFERROR(VLOOKUP($B336,'Privacy Analyst Evaluation'!$A$46:$F$120,3,0),""))&amp;""</f>
      </c>
      <c r="E336" s="208">
        <f>IFERROR(VLOOKUP($B336,'Institution Evaluation'!$A$55:$F$345,4,0),IFERROR(VLOOKUP($B336,'Privacy Analyst Evaluation'!$A$46:$F$120,4,0),""))&amp;""</f>
      </c>
      <c r="F336" s="208">
        <f>IFERROR(VLOOKUP($B336,'Institution Evaluation'!$A$55:$F$345,6,0),IFERROR(VLOOKUP($B336,'Privacy Analyst Evaluation'!$A$46:$F$120,6,0),""))&amp;""</f>
      </c>
      <c r="G336" s="209"/>
      <c r="H336" s="208" t="str">
        <f>IFERROR(IF($H335+1&gt;'(backend scoring)'!$Q$335,"",$H335+1),"")</f>
      </c>
      <c r="I336" s="208">
        <f>_xlfn.XLOOKUP($H336,'(backend scoring)'!$S$2:$S$333,'(backend scoring)'!$A$2:$A$333,"")</f>
      </c>
      <c r="J336" s="208">
        <f>IFERROR(VLOOKUP($I336,'Institution Evaluation'!$A$55:$F$345,2,0),IFERROR(VLOOKUP($I336,'Privacy Analyst Evaluation'!$A$46:$F$120,2,0),""))</f>
      </c>
      <c r="K336" s="208">
        <f>IFERROR(VLOOKUP($I336,'Institution Evaluation'!$A$55:$F$345,3,0),IFERROR(VLOOKUP($I336,'Privacy Analyst Evaluation'!$A$46:$F$120,3,0),""))&amp;""</f>
      </c>
      <c r="L336" s="208">
        <f>IFERROR(VLOOKUP($I336,'Institution Evaluation'!$A$55:$F$345,4,0),IFERROR(VLOOKUP($I336,'Privacy Analyst Evaluation'!$A$46:$F$120,4,0),""))&amp;""</f>
      </c>
      <c r="M336" s="208">
        <f>IFERROR(VLOOKUP($I336,'Institution Evaluation'!$A$55:$F$345,6,0),IFERROR(VLOOKUP($I336,'Privacy Analyst Evaluation'!$A$46:$F$120,6,0),""))&amp;""</f>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ht="17" x14ac:dyDescent="0.2">
      <c r="A337" s="208" t="str">
        <f>IFERROR(IF($A336+1&gt;'(backend scoring)'!$T$335,"",$A336+1),"")</f>
      </c>
      <c r="B337" s="208">
        <f>_xlfn.XLOOKUP($A337,'(backend scoring)'!$V$2:$V$333,'(backend scoring)'!$A$2:$A$333,"")</f>
      </c>
      <c r="C337" s="208">
        <f>IFERROR(VLOOKUP($B337,'Institution Evaluation'!$A$55:$F$345,2,0),IFERROR(VLOOKUP($B337,'Privacy Analyst Evaluation'!$A$46:$F$120,2,0),""))&amp;""</f>
      </c>
      <c r="D337" s="208">
        <f>IFERROR(VLOOKUP($B337,'Institution Evaluation'!$A$55:$F$345,3,0),IFERROR(VLOOKUP($B337,'Privacy Analyst Evaluation'!$A$46:$F$120,3,0),""))&amp;""</f>
      </c>
      <c r="E337" s="208">
        <f>IFERROR(VLOOKUP($B337,'Institution Evaluation'!$A$55:$F$345,4,0),IFERROR(VLOOKUP($B337,'Privacy Analyst Evaluation'!$A$46:$F$120,4,0),""))&amp;""</f>
      </c>
      <c r="F337" s="208">
        <f>IFERROR(VLOOKUP($B337,'Institution Evaluation'!$A$55:$F$345,6,0),IFERROR(VLOOKUP($B337,'Privacy Analyst Evaluation'!$A$46:$F$120,6,0),""))&amp;""</f>
      </c>
      <c r="G337" s="209"/>
      <c r="H337" s="208" t="str">
        <f>IFERROR(IF($H336+1&gt;'(backend scoring)'!$Q$335,"",$H336+1),"")</f>
      </c>
      <c r="I337" s="208">
        <f>_xlfn.XLOOKUP($H337,'(backend scoring)'!$S$2:$S$333,'(backend scoring)'!$A$2:$A$333,"")</f>
      </c>
      <c r="J337" s="208">
        <f>IFERROR(VLOOKUP($I337,'Institution Evaluation'!$A$55:$F$345,2,0),IFERROR(VLOOKUP($I337,'Privacy Analyst Evaluation'!$A$46:$F$120,2,0),""))</f>
      </c>
      <c r="K337" s="208">
        <f>IFERROR(VLOOKUP($I337,'Institution Evaluation'!$A$55:$F$345,3,0),IFERROR(VLOOKUP($I337,'Privacy Analyst Evaluation'!$A$46:$F$120,3,0),""))&amp;""</f>
      </c>
      <c r="L337" s="208">
        <f>IFERROR(VLOOKUP($I337,'Institution Evaluation'!$A$55:$F$345,4,0),IFERROR(VLOOKUP($I337,'Privacy Analyst Evaluation'!$A$46:$F$120,4,0),""))&amp;""</f>
      </c>
      <c r="M337" s="208">
        <f>IFERROR(VLOOKUP($I337,'Institution Evaluation'!$A$55:$F$345,6,0),IFERROR(VLOOKUP($I337,'Privacy Analyst Evaluation'!$A$46:$F$120,6,0),""))&amp;""</f>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ht="17" x14ac:dyDescent="0.2">
      <c r="A338" s="208" t="str">
        <f>IFERROR(IF($A337+1&gt;'(backend scoring)'!$T$335,"",$A337+1),"")</f>
      </c>
      <c r="B338" s="208">
        <f>_xlfn.XLOOKUP($A338,'(backend scoring)'!$V$2:$V$333,'(backend scoring)'!$A$2:$A$333,"")</f>
      </c>
      <c r="C338" s="208">
        <f>IFERROR(VLOOKUP($B338,'Institution Evaluation'!$A$55:$F$345,2,0),IFERROR(VLOOKUP($B338,'Privacy Analyst Evaluation'!$A$46:$F$120,2,0),""))&amp;""</f>
      </c>
      <c r="D338" s="208">
        <f>IFERROR(VLOOKUP($B338,'Institution Evaluation'!$A$55:$F$345,3,0),IFERROR(VLOOKUP($B338,'Privacy Analyst Evaluation'!$A$46:$F$120,3,0),""))&amp;""</f>
      </c>
      <c r="E338" s="208">
        <f>IFERROR(VLOOKUP($B338,'Institution Evaluation'!$A$55:$F$345,4,0),IFERROR(VLOOKUP($B338,'Privacy Analyst Evaluation'!$A$46:$F$120,4,0),""))&amp;""</f>
      </c>
      <c r="F338" s="208">
        <f>IFERROR(VLOOKUP($B338,'Institution Evaluation'!$A$55:$F$345,6,0),IFERROR(VLOOKUP($B338,'Privacy Analyst Evaluation'!$A$46:$F$120,6,0),""))&amp;""</f>
      </c>
      <c r="G338" s="209"/>
      <c r="H338" s="208" t="str">
        <f>IFERROR(IF($H337+1&gt;'(backend scoring)'!$Q$335,"",$H337+1),"")</f>
      </c>
      <c r="I338" s="208">
        <f>_xlfn.XLOOKUP($H338,'(backend scoring)'!$S$2:$S$333,'(backend scoring)'!$A$2:$A$333,"")</f>
      </c>
      <c r="J338" s="208">
        <f>IFERROR(VLOOKUP($I338,'Institution Evaluation'!$A$55:$F$345,2,0),IFERROR(VLOOKUP($I338,'Privacy Analyst Evaluation'!$A$46:$F$120,2,0),""))</f>
      </c>
      <c r="K338" s="208">
        <f>IFERROR(VLOOKUP($I338,'Institution Evaluation'!$A$55:$F$345,3,0),IFERROR(VLOOKUP($I338,'Privacy Analyst Evaluation'!$A$46:$F$120,3,0),""))&amp;""</f>
      </c>
      <c r="L338" s="208">
        <f>IFERROR(VLOOKUP($I338,'Institution Evaluation'!$A$55:$F$345,4,0),IFERROR(VLOOKUP($I338,'Privacy Analyst Evaluation'!$A$46:$F$120,4,0),""))&amp;""</f>
      </c>
      <c r="M338" s="208">
        <f>IFERROR(VLOOKUP($I338,'Institution Evaluation'!$A$55:$F$345,6,0),IFERROR(VLOOKUP($I338,'Privacy Analyst Evaluation'!$A$46:$F$120,6,0),""))&amp;""</f>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ht="17" x14ac:dyDescent="0.2">
      <c r="A339" s="208" t="str">
        <f>IFERROR(IF($A338+1&gt;'(backend scoring)'!$T$335,"",$A338+1),"")</f>
      </c>
      <c r="B339" s="208">
        <f>_xlfn.XLOOKUP($A339,'(backend scoring)'!$V$2:$V$333,'(backend scoring)'!$A$2:$A$333,"")</f>
      </c>
      <c r="C339" s="208">
        <f>IFERROR(VLOOKUP($B339,'Institution Evaluation'!$A$55:$F$345,2,0),IFERROR(VLOOKUP($B339,'Privacy Analyst Evaluation'!$A$46:$F$120,2,0),""))&amp;""</f>
      </c>
      <c r="D339" s="208">
        <f>IFERROR(VLOOKUP($B339,'Institution Evaluation'!$A$55:$F$345,3,0),IFERROR(VLOOKUP($B339,'Privacy Analyst Evaluation'!$A$46:$F$120,3,0),""))&amp;""</f>
      </c>
      <c r="E339" s="208">
        <f>IFERROR(VLOOKUP($B339,'Institution Evaluation'!$A$55:$F$345,4,0),IFERROR(VLOOKUP($B339,'Privacy Analyst Evaluation'!$A$46:$F$120,4,0),""))&amp;""</f>
      </c>
      <c r="F339" s="208">
        <f>IFERROR(VLOOKUP($B339,'Institution Evaluation'!$A$55:$F$345,6,0),IFERROR(VLOOKUP($B339,'Privacy Analyst Evaluation'!$A$46:$F$120,6,0),""))&amp;""</f>
      </c>
      <c r="G339" s="209"/>
      <c r="H339" s="208" t="str">
        <f>IFERROR(IF($H338+1&gt;'(backend scoring)'!$Q$335,"",$H338+1),"")</f>
      </c>
      <c r="I339" s="208">
        <f>_xlfn.XLOOKUP($H339,'(backend scoring)'!$S$2:$S$333,'(backend scoring)'!$A$2:$A$333,"")</f>
      </c>
      <c r="J339" s="208">
        <f>IFERROR(VLOOKUP($I339,'Institution Evaluation'!$A$55:$F$345,2,0),IFERROR(VLOOKUP($I339,'Privacy Analyst Evaluation'!$A$46:$F$120,2,0),""))</f>
      </c>
      <c r="K339" s="208">
        <f>IFERROR(VLOOKUP($I339,'Institution Evaluation'!$A$55:$F$345,3,0),IFERROR(VLOOKUP($I339,'Privacy Analyst Evaluation'!$A$46:$F$120,3,0),""))&amp;""</f>
      </c>
      <c r="L339" s="208">
        <f>IFERROR(VLOOKUP($I339,'Institution Evaluation'!$A$55:$F$345,4,0),IFERROR(VLOOKUP($I339,'Privacy Analyst Evaluation'!$A$46:$F$120,4,0),""))&amp;""</f>
      </c>
      <c r="M339" s="208">
        <f>IFERROR(VLOOKUP($I339,'Institution Evaluation'!$A$55:$F$345,6,0),IFERROR(VLOOKUP($I339,'Privacy Analyst Evaluation'!$A$46:$F$120,6,0),""))&amp;""</f>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ht="17" x14ac:dyDescent="0.2">
      <c r="A340" s="208" t="str">
        <f>IFERROR(IF($A339+1&gt;'(backend scoring)'!$T$335,"",$A339+1),"")</f>
      </c>
      <c r="B340" s="208">
        <f>_xlfn.XLOOKUP($A340,'(backend scoring)'!$V$2:$V$333,'(backend scoring)'!$A$2:$A$333,"")</f>
      </c>
      <c r="C340" s="208">
        <f>IFERROR(VLOOKUP($B340,'Institution Evaluation'!$A$55:$F$345,2,0),IFERROR(VLOOKUP($B340,'Privacy Analyst Evaluation'!$A$46:$F$120,2,0),""))&amp;""</f>
      </c>
      <c r="D340" s="208">
        <f>IFERROR(VLOOKUP($B340,'Institution Evaluation'!$A$55:$F$345,3,0),IFERROR(VLOOKUP($B340,'Privacy Analyst Evaluation'!$A$46:$F$120,3,0),""))&amp;""</f>
      </c>
      <c r="E340" s="208">
        <f>IFERROR(VLOOKUP($B340,'Institution Evaluation'!$A$55:$F$345,4,0),IFERROR(VLOOKUP($B340,'Privacy Analyst Evaluation'!$A$46:$F$120,4,0),""))&amp;""</f>
      </c>
      <c r="F340" s="208">
        <f>IFERROR(VLOOKUP($B340,'Institution Evaluation'!$A$55:$F$345,6,0),IFERROR(VLOOKUP($B340,'Privacy Analyst Evaluation'!$A$46:$F$120,6,0),""))&amp;""</f>
      </c>
      <c r="G340" s="209"/>
      <c r="H340" s="208" t="str">
        <f>IFERROR(IF($H339+1&gt;'(backend scoring)'!$Q$335,"",$H339+1),"")</f>
      </c>
      <c r="I340" s="208">
        <f>_xlfn.XLOOKUP($H340,'(backend scoring)'!$S$2:$S$333,'(backend scoring)'!$A$2:$A$333,"")</f>
      </c>
      <c r="J340" s="208">
        <f>IFERROR(VLOOKUP($I340,'Institution Evaluation'!$A$55:$F$345,2,0),IFERROR(VLOOKUP($I340,'Privacy Analyst Evaluation'!$A$46:$F$120,2,0),""))</f>
      </c>
      <c r="K340" s="208">
        <f>IFERROR(VLOOKUP($I340,'Institution Evaluation'!$A$55:$F$345,3,0),IFERROR(VLOOKUP($I340,'Privacy Analyst Evaluation'!$A$46:$F$120,3,0),""))&amp;""</f>
      </c>
      <c r="L340" s="208">
        <f>IFERROR(VLOOKUP($I340,'Institution Evaluation'!$A$55:$F$345,4,0),IFERROR(VLOOKUP($I340,'Privacy Analyst Evaluation'!$A$46:$F$120,4,0),""))&amp;""</f>
      </c>
      <c r="M340" s="208">
        <f>IFERROR(VLOOKUP($I340,'Institution Evaluation'!$A$55:$F$345,6,0),IFERROR(VLOOKUP($I340,'Privacy Analyst Evaluation'!$A$46:$F$120,6,0),""))&amp;""</f>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ht="17" x14ac:dyDescent="0.2">
      <c r="A341" s="208" t="str">
        <f>IFERROR(IF($A340+1&gt;'(backend scoring)'!$T$335,"",$A340+1),"")</f>
      </c>
      <c r="B341" s="208">
        <f>_xlfn.XLOOKUP($A341,'(backend scoring)'!$V$2:$V$333,'(backend scoring)'!$A$2:$A$333,"")</f>
      </c>
      <c r="C341" s="208">
        <f>IFERROR(VLOOKUP($B341,'Institution Evaluation'!$A$55:$F$345,2,0),IFERROR(VLOOKUP($B341,'Privacy Analyst Evaluation'!$A$46:$F$120,2,0),""))&amp;""</f>
      </c>
      <c r="D341" s="208">
        <f>IFERROR(VLOOKUP($B341,'Institution Evaluation'!$A$55:$F$345,3,0),IFERROR(VLOOKUP($B341,'Privacy Analyst Evaluation'!$A$46:$F$120,3,0),""))&amp;""</f>
      </c>
      <c r="E341" s="208">
        <f>IFERROR(VLOOKUP($B341,'Institution Evaluation'!$A$55:$F$345,4,0),IFERROR(VLOOKUP($B341,'Privacy Analyst Evaluation'!$A$46:$F$120,4,0),""))&amp;""</f>
      </c>
      <c r="F341" s="208">
        <f>IFERROR(VLOOKUP($B341,'Institution Evaluation'!$A$55:$F$345,6,0),IFERROR(VLOOKUP($B341,'Privacy Analyst Evaluation'!$A$46:$F$120,6,0),""))&amp;""</f>
      </c>
      <c r="G341" s="209"/>
      <c r="H341" s="208" t="str">
        <f>IFERROR(IF($H340+1&gt;'(backend scoring)'!$Q$335,"",$H340+1),"")</f>
      </c>
      <c r="I341" s="208">
        <f>_xlfn.XLOOKUP($H341,'(backend scoring)'!$S$2:$S$333,'(backend scoring)'!$A$2:$A$333,"")</f>
      </c>
      <c r="J341" s="208">
        <f>IFERROR(VLOOKUP($I341,'Institution Evaluation'!$A$55:$F$345,2,0),IFERROR(VLOOKUP($I341,'Privacy Analyst Evaluation'!$A$46:$F$120,2,0),""))</f>
      </c>
      <c r="K341" s="208">
        <f>IFERROR(VLOOKUP($I341,'Institution Evaluation'!$A$55:$F$345,3,0),IFERROR(VLOOKUP($I341,'Privacy Analyst Evaluation'!$A$46:$F$120,3,0),""))&amp;""</f>
      </c>
      <c r="L341" s="208">
        <f>IFERROR(VLOOKUP($I341,'Institution Evaluation'!$A$55:$F$345,4,0),IFERROR(VLOOKUP($I341,'Privacy Analyst Evaluation'!$A$46:$F$120,4,0),""))&amp;""</f>
      </c>
      <c r="M341" s="208">
        <f>IFERROR(VLOOKUP($I341,'Institution Evaluation'!$A$55:$F$345,6,0),IFERROR(VLOOKUP($I341,'Privacy Analyst Evaluation'!$A$46:$F$120,6,0),""))&amp;""</f>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ht="17" x14ac:dyDescent="0.2">
      <c r="A342" s="208" t="str">
        <f>IFERROR(IF($A341+1&gt;'(backend scoring)'!$T$335,"",$A341+1),"")</f>
      </c>
      <c r="B342" s="208">
        <f>_xlfn.XLOOKUP($A342,'(backend scoring)'!$V$2:$V$333,'(backend scoring)'!$A$2:$A$333,"")</f>
      </c>
      <c r="C342" s="208">
        <f>IFERROR(VLOOKUP($B342,'Institution Evaluation'!$A$55:$F$345,2,0),IFERROR(VLOOKUP($B342,'Privacy Analyst Evaluation'!$A$46:$F$120,2,0),""))&amp;""</f>
      </c>
      <c r="D342" s="208">
        <f>IFERROR(VLOOKUP($B342,'Institution Evaluation'!$A$55:$F$345,3,0),IFERROR(VLOOKUP($B342,'Privacy Analyst Evaluation'!$A$46:$F$120,3,0),""))&amp;""</f>
      </c>
      <c r="E342" s="208">
        <f>IFERROR(VLOOKUP($B342,'Institution Evaluation'!$A$55:$F$345,4,0),IFERROR(VLOOKUP($B342,'Privacy Analyst Evaluation'!$A$46:$F$120,4,0),""))&amp;""</f>
      </c>
      <c r="F342" s="208">
        <f>IFERROR(VLOOKUP($B342,'Institution Evaluation'!$A$55:$F$345,6,0),IFERROR(VLOOKUP($B342,'Privacy Analyst Evaluation'!$A$46:$F$120,6,0),""))&amp;""</f>
      </c>
      <c r="G342" s="209"/>
      <c r="H342" s="208" t="str">
        <f>IFERROR(IF($H341+1&gt;'(backend scoring)'!$Q$335,"",$H341+1),"")</f>
      </c>
      <c r="I342" s="208">
        <f>_xlfn.XLOOKUP($H342,'(backend scoring)'!$S$2:$S$333,'(backend scoring)'!$A$2:$A$333,"")</f>
      </c>
      <c r="J342" s="208">
        <f>IFERROR(VLOOKUP($I342,'Institution Evaluation'!$A$55:$F$345,2,0),IFERROR(VLOOKUP($I342,'Privacy Analyst Evaluation'!$A$46:$F$120,2,0),""))</f>
      </c>
      <c r="K342" s="208">
        <f>IFERROR(VLOOKUP($I342,'Institution Evaluation'!$A$55:$F$345,3,0),IFERROR(VLOOKUP($I342,'Privacy Analyst Evaluation'!$A$46:$F$120,3,0),""))&amp;""</f>
      </c>
      <c r="L342" s="208">
        <f>IFERROR(VLOOKUP($I342,'Institution Evaluation'!$A$55:$F$345,4,0),IFERROR(VLOOKUP($I342,'Privacy Analyst Evaluation'!$A$46:$F$120,4,0),""))&amp;""</f>
      </c>
      <c r="M342" s="208">
        <f>IFERROR(VLOOKUP($I342,'Institution Evaluation'!$A$55:$F$345,6,0),IFERROR(VLOOKUP($I342,'Privacy Analyst Evaluation'!$A$46:$F$120,6,0),""))&amp;""</f>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ht="17" x14ac:dyDescent="0.2">
      <c r="A343" s="208" t="str">
        <f>IFERROR(IF($A342+1&gt;'(backend scoring)'!$T$335,"",$A342+1),"")</f>
      </c>
      <c r="B343" s="208">
        <f>_xlfn.XLOOKUP($A343,'(backend scoring)'!$V$2:$V$333,'(backend scoring)'!$A$2:$A$333,"")</f>
      </c>
      <c r="C343" s="208">
        <f>IFERROR(VLOOKUP($B343,'Institution Evaluation'!$A$55:$F$345,2,0),IFERROR(VLOOKUP($B343,'Privacy Analyst Evaluation'!$A$46:$F$120,2,0),""))&amp;""</f>
      </c>
      <c r="D343" s="208">
        <f>IFERROR(VLOOKUP($B343,'Institution Evaluation'!$A$55:$F$345,3,0),IFERROR(VLOOKUP($B343,'Privacy Analyst Evaluation'!$A$46:$F$120,3,0),""))&amp;""</f>
      </c>
      <c r="E343" s="208">
        <f>IFERROR(VLOOKUP($B343,'Institution Evaluation'!$A$55:$F$345,4,0),IFERROR(VLOOKUP($B343,'Privacy Analyst Evaluation'!$A$46:$F$120,4,0),""))&amp;""</f>
      </c>
      <c r="F343" s="208">
        <f>IFERROR(VLOOKUP($B343,'Institution Evaluation'!$A$55:$F$345,6,0),IFERROR(VLOOKUP($B343,'Privacy Analyst Evaluation'!$A$46:$F$120,6,0),""))&amp;""</f>
      </c>
      <c r="G343" s="209"/>
      <c r="H343" s="208" t="str">
        <f>IFERROR(IF($H342+1&gt;'(backend scoring)'!$Q$335,"",$H342+1),"")</f>
      </c>
      <c r="I343" s="208">
        <f>_xlfn.XLOOKUP($H343,'(backend scoring)'!$S$2:$S$333,'(backend scoring)'!$A$2:$A$333,"")</f>
      </c>
      <c r="J343" s="208">
        <f>IFERROR(VLOOKUP($I343,'Institution Evaluation'!$A$55:$F$345,2,0),IFERROR(VLOOKUP($I343,'Privacy Analyst Evaluation'!$A$46:$F$120,2,0),""))</f>
      </c>
      <c r="K343" s="208">
        <f>IFERROR(VLOOKUP($I343,'Institution Evaluation'!$A$55:$F$345,3,0),IFERROR(VLOOKUP($I343,'Privacy Analyst Evaluation'!$A$46:$F$120,3,0),""))&amp;""</f>
      </c>
      <c r="L343" s="208">
        <f>IFERROR(VLOOKUP($I343,'Institution Evaluation'!$A$55:$F$345,4,0),IFERROR(VLOOKUP($I343,'Privacy Analyst Evaluation'!$A$46:$F$120,4,0),""))&amp;""</f>
      </c>
      <c r="M343" s="208">
        <f>IFERROR(VLOOKUP($I343,'Institution Evaluation'!$A$55:$F$345,6,0),IFERROR(VLOOKUP($I343,'Privacy Analyst Evaluation'!$A$46:$F$120,6,0),""))&amp;""</f>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ht="17" x14ac:dyDescent="0.2">
      <c r="A344" s="208" t="str">
        <f>IFERROR(IF($A343+1&gt;'(backend scoring)'!$T$335,"",$A343+1),"")</f>
      </c>
      <c r="B344" s="208">
        <f>_xlfn.XLOOKUP($A344,'(backend scoring)'!$V$2:$V$333,'(backend scoring)'!$A$2:$A$333,"")</f>
      </c>
      <c r="C344" s="208">
        <f>IFERROR(VLOOKUP($B344,'Institution Evaluation'!$A$55:$F$345,2,0),IFERROR(VLOOKUP($B344,'Privacy Analyst Evaluation'!$A$46:$F$120,2,0),""))&amp;""</f>
      </c>
      <c r="D344" s="208">
        <f>IFERROR(VLOOKUP($B344,'Institution Evaluation'!$A$55:$F$345,3,0),IFERROR(VLOOKUP($B344,'Privacy Analyst Evaluation'!$A$46:$F$120,3,0),""))&amp;""</f>
      </c>
      <c r="E344" s="208">
        <f>IFERROR(VLOOKUP($B344,'Institution Evaluation'!$A$55:$F$345,4,0),IFERROR(VLOOKUP($B344,'Privacy Analyst Evaluation'!$A$46:$F$120,4,0),""))&amp;""</f>
      </c>
      <c r="F344" s="208">
        <f>IFERROR(VLOOKUP($B344,'Institution Evaluation'!$A$55:$F$345,6,0),IFERROR(VLOOKUP($B344,'Privacy Analyst Evaluation'!$A$46:$F$120,6,0),""))&amp;""</f>
      </c>
      <c r="G344" s="209"/>
      <c r="H344" s="208" t="str">
        <f>IFERROR(IF($H343+1&gt;'(backend scoring)'!$Q$335,"",$H343+1),"")</f>
      </c>
      <c r="I344" s="208">
        <f>_xlfn.XLOOKUP($H344,'(backend scoring)'!$S$2:$S$333,'(backend scoring)'!$A$2:$A$333,"")</f>
      </c>
      <c r="J344" s="208">
        <f>IFERROR(VLOOKUP($I344,'Institution Evaluation'!$A$55:$F$345,2,0),IFERROR(VLOOKUP($I344,'Privacy Analyst Evaluation'!$A$46:$F$120,2,0),""))</f>
      </c>
      <c r="K344" s="208">
        <f>IFERROR(VLOOKUP($I344,'Institution Evaluation'!$A$55:$F$345,3,0),IFERROR(VLOOKUP($I344,'Privacy Analyst Evaluation'!$A$46:$F$120,3,0),""))&amp;""</f>
      </c>
      <c r="L344" s="208">
        <f>IFERROR(VLOOKUP($I344,'Institution Evaluation'!$A$55:$F$345,4,0),IFERROR(VLOOKUP($I344,'Privacy Analyst Evaluation'!$A$46:$F$120,4,0),""))&amp;""</f>
      </c>
      <c r="M344" s="208">
        <f>IFERROR(VLOOKUP($I344,'Institution Evaluation'!$A$55:$F$345,6,0),IFERROR(VLOOKUP($I344,'Privacy Analyst Evaluation'!$A$46:$F$120,6,0),""))&amp;""</f>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ht="17" x14ac:dyDescent="0.2">
      <c r="A345" s="208" t="str">
        <f>IFERROR(IF($A344+1&gt;'(backend scoring)'!$T$335,"",$A344+1),"")</f>
      </c>
      <c r="B345" s="208">
        <f>_xlfn.XLOOKUP($A345,'(backend scoring)'!$V$2:$V$333,'(backend scoring)'!$A$2:$A$333,"")</f>
      </c>
      <c r="C345" s="208">
        <f>IFERROR(VLOOKUP($B345,'Institution Evaluation'!$A$55:$F$345,2,0),IFERROR(VLOOKUP($B345,'Privacy Analyst Evaluation'!$A$46:$F$120,2,0),""))&amp;""</f>
      </c>
      <c r="D345" s="208">
        <f>IFERROR(VLOOKUP($B345,'Institution Evaluation'!$A$55:$F$345,3,0),IFERROR(VLOOKUP($B345,'Privacy Analyst Evaluation'!$A$46:$F$120,3,0),""))&amp;""</f>
      </c>
      <c r="E345" s="208">
        <f>IFERROR(VLOOKUP($B345,'Institution Evaluation'!$A$55:$F$345,4,0),IFERROR(VLOOKUP($B345,'Privacy Analyst Evaluation'!$A$46:$F$120,4,0),""))&amp;""</f>
      </c>
      <c r="F345" s="208">
        <f>IFERROR(VLOOKUP($B345,'Institution Evaluation'!$A$55:$F$345,6,0),IFERROR(VLOOKUP($B345,'Privacy Analyst Evaluation'!$A$46:$F$120,6,0),""))&amp;""</f>
      </c>
      <c r="G345" s="209"/>
      <c r="H345" s="208" t="str">
        <f>IFERROR(IF($H344+1&gt;'(backend scoring)'!$Q$335,"",$H344+1),"")</f>
      </c>
      <c r="I345" s="208">
        <f>_xlfn.XLOOKUP($H345,'(backend scoring)'!$S$2:$S$333,'(backend scoring)'!$A$2:$A$333,"")</f>
      </c>
      <c r="J345" s="208">
        <f>IFERROR(VLOOKUP($I345,'Institution Evaluation'!$A$55:$F$345,2,0),IFERROR(VLOOKUP($I345,'Privacy Analyst Evaluation'!$A$46:$F$120,2,0),""))</f>
      </c>
      <c r="K345" s="208">
        <f>IFERROR(VLOOKUP($I345,'Institution Evaluation'!$A$55:$F$345,3,0),IFERROR(VLOOKUP($I345,'Privacy Analyst Evaluation'!$A$46:$F$120,3,0),""))&amp;""</f>
      </c>
      <c r="L345" s="208">
        <f>IFERROR(VLOOKUP($I345,'Institution Evaluation'!$A$55:$F$345,4,0),IFERROR(VLOOKUP($I345,'Privacy Analyst Evaluation'!$A$46:$F$120,4,0),""))&amp;""</f>
      </c>
      <c r="M345" s="208">
        <f>IFERROR(VLOOKUP($I345,'Institution Evaluation'!$A$55:$F$345,6,0),IFERROR(VLOOKUP($I345,'Privacy Analyst Evaluation'!$A$46:$F$120,6,0),""))&amp;""</f>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ht="17" x14ac:dyDescent="0.2">
      <c r="A346" s="208" t="str">
        <f>IFERROR(IF($A345+1&gt;'(backend scoring)'!$T$335,"",$A345+1),"")</f>
      </c>
      <c r="B346" s="208">
        <f>_xlfn.XLOOKUP($A346,'(backend scoring)'!$V$2:$V$333,'(backend scoring)'!$A$2:$A$333,"")</f>
      </c>
      <c r="C346" s="208">
        <f>IFERROR(VLOOKUP($B346,'Institution Evaluation'!$A$55:$F$345,2,0),IFERROR(VLOOKUP($B346,'Privacy Analyst Evaluation'!$A$46:$F$120,2,0),""))&amp;""</f>
      </c>
      <c r="D346" s="208">
        <f>IFERROR(VLOOKUP($B346,'Institution Evaluation'!$A$55:$F$345,3,0),IFERROR(VLOOKUP($B346,'Privacy Analyst Evaluation'!$A$46:$F$120,3,0),""))&amp;""</f>
      </c>
      <c r="E346" s="208">
        <f>IFERROR(VLOOKUP($B346,'Institution Evaluation'!$A$55:$F$345,4,0),IFERROR(VLOOKUP($B346,'Privacy Analyst Evaluation'!$A$46:$F$120,4,0),""))&amp;""</f>
      </c>
      <c r="F346" s="208">
        <f>IFERROR(VLOOKUP($B346,'Institution Evaluation'!$A$55:$F$345,6,0),IFERROR(VLOOKUP($B346,'Privacy Analyst Evaluation'!$A$46:$F$120,6,0),""))&amp;""</f>
      </c>
      <c r="G346" s="209"/>
      <c r="H346" s="208" t="str">
        <f>IFERROR(IF($H345+1&gt;'(backend scoring)'!$Q$335,"",$H345+1),"")</f>
      </c>
      <c r="I346" s="208">
        <f>_xlfn.XLOOKUP($H346,'(backend scoring)'!$S$2:$S$333,'(backend scoring)'!$A$2:$A$333,"")</f>
      </c>
      <c r="J346" s="208">
        <f>IFERROR(VLOOKUP($I346,'Institution Evaluation'!$A$55:$F$345,2,0),IFERROR(VLOOKUP($I346,'Privacy Analyst Evaluation'!$A$46:$F$120,2,0),""))</f>
      </c>
      <c r="K346" s="208">
        <f>IFERROR(VLOOKUP($I346,'Institution Evaluation'!$A$55:$F$345,3,0),IFERROR(VLOOKUP($I346,'Privacy Analyst Evaluation'!$A$46:$F$120,3,0),""))&amp;""</f>
      </c>
      <c r="L346" s="208">
        <f>IFERROR(VLOOKUP($I346,'Institution Evaluation'!$A$55:$F$345,4,0),IFERROR(VLOOKUP($I346,'Privacy Analyst Evaluation'!$A$46:$F$120,4,0),""))&amp;""</f>
      </c>
      <c r="M346" s="208">
        <f>IFERROR(VLOOKUP($I346,'Institution Evaluation'!$A$55:$F$345,6,0),IFERROR(VLOOKUP($I346,'Privacy Analyst Evaluation'!$A$46:$F$120,6,0),""))&amp;""</f>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ht="17" x14ac:dyDescent="0.2">
      <c r="A347" s="208" t="str">
        <f>IFERROR(IF($A346+1&gt;'(backend scoring)'!$T$335,"",$A346+1),"")</f>
      </c>
      <c r="B347" s="208">
        <f>_xlfn.XLOOKUP($A347,'(backend scoring)'!$V$2:$V$333,'(backend scoring)'!$A$2:$A$333,"")</f>
      </c>
      <c r="C347" s="208">
        <f>IFERROR(VLOOKUP($B347,'Institution Evaluation'!$A$55:$F$345,2,0),IFERROR(VLOOKUP($B347,'Privacy Analyst Evaluation'!$A$46:$F$120,2,0),""))&amp;""</f>
      </c>
      <c r="D347" s="208">
        <f>IFERROR(VLOOKUP($B347,'Institution Evaluation'!$A$55:$F$345,3,0),IFERROR(VLOOKUP($B347,'Privacy Analyst Evaluation'!$A$46:$F$120,3,0),""))&amp;""</f>
      </c>
      <c r="E347" s="208">
        <f>IFERROR(VLOOKUP($B347,'Institution Evaluation'!$A$55:$F$345,4,0),IFERROR(VLOOKUP($B347,'Privacy Analyst Evaluation'!$A$46:$F$120,4,0),""))&amp;""</f>
      </c>
      <c r="F347" s="208">
        <f>IFERROR(VLOOKUP($B347,'Institution Evaluation'!$A$55:$F$345,6,0),IFERROR(VLOOKUP($B347,'Privacy Analyst Evaluation'!$A$46:$F$120,6,0),""))&amp;""</f>
      </c>
      <c r="G347" s="209"/>
      <c r="H347" s="208" t="str">
        <f>IFERROR(IF($H346+1&gt;'(backend scoring)'!$Q$335,"",$H346+1),"")</f>
      </c>
      <c r="I347" s="208">
        <f>_xlfn.XLOOKUP($H347,'(backend scoring)'!$S$2:$S$333,'(backend scoring)'!$A$2:$A$333,"")</f>
      </c>
      <c r="J347" s="208">
        <f>IFERROR(VLOOKUP($I347,'Institution Evaluation'!$A$55:$F$345,2,0),IFERROR(VLOOKUP($I347,'Privacy Analyst Evaluation'!$A$46:$F$120,2,0),""))</f>
      </c>
      <c r="K347" s="208">
        <f>IFERROR(VLOOKUP($I347,'Institution Evaluation'!$A$55:$F$345,3,0),IFERROR(VLOOKUP($I347,'Privacy Analyst Evaluation'!$A$46:$F$120,3,0),""))&amp;""</f>
      </c>
      <c r="L347" s="208">
        <f>IFERROR(VLOOKUP($I347,'Institution Evaluation'!$A$55:$F$345,4,0),IFERROR(VLOOKUP($I347,'Privacy Analyst Evaluation'!$A$46:$F$120,4,0),""))&amp;""</f>
      </c>
      <c r="M347" s="208">
        <f>IFERROR(VLOOKUP($I347,'Institution Evaluation'!$A$55:$F$345,6,0),IFERROR(VLOOKUP($I347,'Privacy Analyst Evaluation'!$A$46:$F$120,6,0),""))&amp;""</f>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ht="17" x14ac:dyDescent="0.2">
      <c r="A348" s="208" t="str">
        <f>IFERROR(IF($A347+1&gt;'(backend scoring)'!$T$335,"",$A347+1),"")</f>
      </c>
      <c r="B348" s="208">
        <f>_xlfn.XLOOKUP($A348,'(backend scoring)'!$V$2:$V$333,'(backend scoring)'!$A$2:$A$333,"")</f>
      </c>
      <c r="C348" s="208">
        <f>IFERROR(VLOOKUP($B348,'Institution Evaluation'!$A$55:$F$345,2,0),IFERROR(VLOOKUP($B348,'Privacy Analyst Evaluation'!$A$46:$F$120,2,0),""))&amp;""</f>
      </c>
      <c r="D348" s="208">
        <f>IFERROR(VLOOKUP($B348,'Institution Evaluation'!$A$55:$F$345,3,0),IFERROR(VLOOKUP($B348,'Privacy Analyst Evaluation'!$A$46:$F$120,3,0),""))&amp;""</f>
      </c>
      <c r="E348" s="208">
        <f>IFERROR(VLOOKUP($B348,'Institution Evaluation'!$A$55:$F$345,4,0),IFERROR(VLOOKUP($B348,'Privacy Analyst Evaluation'!$A$46:$F$120,4,0),""))&amp;""</f>
      </c>
      <c r="F348" s="208">
        <f>IFERROR(VLOOKUP($B348,'Institution Evaluation'!$A$55:$F$345,6,0),IFERROR(VLOOKUP($B348,'Privacy Analyst Evaluation'!$A$46:$F$120,6,0),""))&amp;""</f>
      </c>
      <c r="G348" s="209"/>
      <c r="H348" s="208" t="str">
        <f>IFERROR(IF($H347+1&gt;'(backend scoring)'!$Q$335,"",$H347+1),"")</f>
      </c>
      <c r="I348" s="208">
        <f>_xlfn.XLOOKUP($H348,'(backend scoring)'!$S$2:$S$333,'(backend scoring)'!$A$2:$A$333,"")</f>
      </c>
      <c r="J348" s="208">
        <f>IFERROR(VLOOKUP($I348,'Institution Evaluation'!$A$55:$F$345,2,0),IFERROR(VLOOKUP($I348,'Privacy Analyst Evaluation'!$A$46:$F$120,2,0),""))</f>
      </c>
      <c r="K348" s="208">
        <f>IFERROR(VLOOKUP($I348,'Institution Evaluation'!$A$55:$F$345,3,0),IFERROR(VLOOKUP($I348,'Privacy Analyst Evaluation'!$A$46:$F$120,3,0),""))&amp;""</f>
      </c>
      <c r="L348" s="208">
        <f>IFERROR(VLOOKUP($I348,'Institution Evaluation'!$A$55:$F$345,4,0),IFERROR(VLOOKUP($I348,'Privacy Analyst Evaluation'!$A$46:$F$120,4,0),""))&amp;""</f>
      </c>
      <c r="M348" s="208">
        <f>IFERROR(VLOOKUP($I348,'Institution Evaluation'!$A$55:$F$345,6,0),IFERROR(VLOOKUP($I348,'Privacy Analyst Evaluation'!$A$46:$F$120,6,0),""))&amp;""</f>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ht="17" x14ac:dyDescent="0.2">
      <c r="A349" s="208" t="str">
        <f>IFERROR(IF($A348+1&gt;'(backend scoring)'!$T$335,"",$A348+1),"")</f>
      </c>
      <c r="B349" s="208">
        <f>_xlfn.XLOOKUP($A349,'(backend scoring)'!$V$2:$V$333,'(backend scoring)'!$A$2:$A$333,"")</f>
      </c>
      <c r="C349" s="208">
        <f>IFERROR(VLOOKUP($B349,'Institution Evaluation'!$A$55:$F$345,2,0),IFERROR(VLOOKUP($B349,'Privacy Analyst Evaluation'!$A$46:$F$120,2,0),""))&amp;""</f>
      </c>
      <c r="D349" s="208">
        <f>IFERROR(VLOOKUP($B349,'Institution Evaluation'!$A$55:$F$345,3,0),IFERROR(VLOOKUP($B349,'Privacy Analyst Evaluation'!$A$46:$F$120,3,0),""))&amp;""</f>
      </c>
      <c r="E349" s="208">
        <f>IFERROR(VLOOKUP($B349,'Institution Evaluation'!$A$55:$F$345,4,0),IFERROR(VLOOKUP($B349,'Privacy Analyst Evaluation'!$A$46:$F$120,4,0),""))&amp;""</f>
      </c>
      <c r="F349" s="208">
        <f>IFERROR(VLOOKUP($B349,'Institution Evaluation'!$A$55:$F$345,6,0),IFERROR(VLOOKUP($B349,'Privacy Analyst Evaluation'!$A$46:$F$120,6,0),""))&amp;""</f>
      </c>
      <c r="G349" s="209"/>
      <c r="H349" s="208" t="str">
        <f>IFERROR(IF($H348+1&gt;'(backend scoring)'!$Q$335,"",$H348+1),"")</f>
      </c>
      <c r="I349" s="208">
        <f>_xlfn.XLOOKUP($H349,'(backend scoring)'!$S$2:$S$333,'(backend scoring)'!$A$2:$A$333,"")</f>
      </c>
      <c r="J349" s="208">
        <f>IFERROR(VLOOKUP($I349,'Institution Evaluation'!$A$55:$F$345,2,0),IFERROR(VLOOKUP($I349,'Privacy Analyst Evaluation'!$A$46:$F$120,2,0),""))</f>
      </c>
      <c r="K349" s="208">
        <f>IFERROR(VLOOKUP($I349,'Institution Evaluation'!$A$55:$F$345,3,0),IFERROR(VLOOKUP($I349,'Privacy Analyst Evaluation'!$A$46:$F$120,3,0),""))&amp;""</f>
      </c>
      <c r="L349" s="208">
        <f>IFERROR(VLOOKUP($I349,'Institution Evaluation'!$A$55:$F$345,4,0),IFERROR(VLOOKUP($I349,'Privacy Analyst Evaluation'!$A$46:$F$120,4,0),""))&amp;""</f>
      </c>
      <c r="M349" s="208">
        <f>IFERROR(VLOOKUP($I349,'Institution Evaluation'!$A$55:$F$345,6,0),IFERROR(VLOOKUP($I349,'Privacy Analyst Evaluation'!$A$46:$F$120,6,0),""))&amp;""</f>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ht="17" x14ac:dyDescent="0.2">
      <c r="A350" s="208" t="str">
        <f>IFERROR(IF($A349+1&gt;'(backend scoring)'!$T$335,"",$A349+1),"")</f>
      </c>
      <c r="B350" s="208">
        <f>_xlfn.XLOOKUP($A350,'(backend scoring)'!$V$2:$V$333,'(backend scoring)'!$A$2:$A$333,"")</f>
      </c>
      <c r="C350" s="208">
        <f>IFERROR(VLOOKUP($B350,'Institution Evaluation'!$A$55:$F$345,2,0),IFERROR(VLOOKUP($B350,'Privacy Analyst Evaluation'!$A$46:$F$120,2,0),""))&amp;""</f>
      </c>
      <c r="D350" s="208">
        <f>IFERROR(VLOOKUP($B350,'Institution Evaluation'!$A$55:$F$345,3,0),IFERROR(VLOOKUP($B350,'Privacy Analyst Evaluation'!$A$46:$F$120,3,0),""))&amp;""</f>
      </c>
      <c r="E350" s="208">
        <f>IFERROR(VLOOKUP($B350,'Institution Evaluation'!$A$55:$F$345,4,0),IFERROR(VLOOKUP($B350,'Privacy Analyst Evaluation'!$A$46:$F$120,4,0),""))&amp;""</f>
      </c>
      <c r="F350" s="208">
        <f>IFERROR(VLOOKUP($B350,'Institution Evaluation'!$A$55:$F$345,6,0),IFERROR(VLOOKUP($B350,'Privacy Analyst Evaluation'!$A$46:$F$120,6,0),""))&amp;""</f>
      </c>
      <c r="G350" s="209"/>
      <c r="H350" s="208" t="str">
        <f>IFERROR(IF($H349+1&gt;'(backend scoring)'!$Q$335,"",$H349+1),"")</f>
      </c>
      <c r="I350" s="208">
        <f>_xlfn.XLOOKUP($H350,'(backend scoring)'!$S$2:$S$333,'(backend scoring)'!$A$2:$A$333,"")</f>
      </c>
      <c r="J350" s="208">
        <f>IFERROR(VLOOKUP($I350,'Institution Evaluation'!$A$55:$F$345,2,0),IFERROR(VLOOKUP($I350,'Privacy Analyst Evaluation'!$A$46:$F$120,2,0),""))</f>
      </c>
      <c r="K350" s="208">
        <f>IFERROR(VLOOKUP($I350,'Institution Evaluation'!$A$55:$F$345,3,0),IFERROR(VLOOKUP($I350,'Privacy Analyst Evaluation'!$A$46:$F$120,3,0),""))&amp;""</f>
      </c>
      <c r="L350" s="208">
        <f>IFERROR(VLOOKUP($I350,'Institution Evaluation'!$A$55:$F$345,4,0),IFERROR(VLOOKUP($I350,'Privacy Analyst Evaluation'!$A$46:$F$120,4,0),""))&amp;""</f>
      </c>
      <c r="M350" s="208">
        <f>IFERROR(VLOOKUP($I350,'Institution Evaluation'!$A$55:$F$345,6,0),IFERROR(VLOOKUP($I350,'Privacy Analyst Evaluation'!$A$46:$F$120,6,0),""))&amp;""</f>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ht="17" x14ac:dyDescent="0.2">
      <c r="A351" s="208" t="str">
        <f>IFERROR(IF($A350+1&gt;'(backend scoring)'!$T$335,"",$A350+1),"")</f>
      </c>
      <c r="B351" s="208">
        <f>_xlfn.XLOOKUP($A351,'(backend scoring)'!$V$2:$V$333,'(backend scoring)'!$A$2:$A$333,"")</f>
      </c>
      <c r="C351" s="208">
        <f>IFERROR(VLOOKUP($B351,'Institution Evaluation'!$A$55:$F$345,2,0),IFERROR(VLOOKUP($B351,'Privacy Analyst Evaluation'!$A$46:$F$120,2,0),""))&amp;""</f>
      </c>
      <c r="D351" s="208">
        <f>IFERROR(VLOOKUP($B351,'Institution Evaluation'!$A$55:$F$345,3,0),IFERROR(VLOOKUP($B351,'Privacy Analyst Evaluation'!$A$46:$F$120,3,0),""))&amp;""</f>
      </c>
      <c r="E351" s="208">
        <f>IFERROR(VLOOKUP($B351,'Institution Evaluation'!$A$55:$F$345,4,0),IFERROR(VLOOKUP($B351,'Privacy Analyst Evaluation'!$A$46:$F$120,4,0),""))&amp;""</f>
      </c>
      <c r="F351" s="208">
        <f>IFERROR(VLOOKUP($B351,'Institution Evaluation'!$A$55:$F$345,6,0),IFERROR(VLOOKUP($B351,'Privacy Analyst Evaluation'!$A$46:$F$120,6,0),""))&amp;""</f>
      </c>
      <c r="G351" s="209"/>
      <c r="H351" s="208" t="str">
        <f>IFERROR(IF($H350+1&gt;'(backend scoring)'!$Q$335,"",$H350+1),"")</f>
      </c>
      <c r="I351" s="208">
        <f>_xlfn.XLOOKUP($H351,'(backend scoring)'!$S$2:$S$333,'(backend scoring)'!$A$2:$A$333,"")</f>
      </c>
      <c r="J351" s="208">
        <f>IFERROR(VLOOKUP($I351,'Institution Evaluation'!$A$55:$F$345,2,0),IFERROR(VLOOKUP($I351,'Privacy Analyst Evaluation'!$A$46:$F$120,2,0),""))</f>
      </c>
      <c r="K351" s="208">
        <f>IFERROR(VLOOKUP($I351,'Institution Evaluation'!$A$55:$F$345,3,0),IFERROR(VLOOKUP($I351,'Privacy Analyst Evaluation'!$A$46:$F$120,3,0),""))&amp;""</f>
      </c>
      <c r="L351" s="208">
        <f>IFERROR(VLOOKUP($I351,'Institution Evaluation'!$A$55:$F$345,4,0),IFERROR(VLOOKUP($I351,'Privacy Analyst Evaluation'!$A$46:$F$120,4,0),""))&amp;""</f>
      </c>
      <c r="M351" s="208">
        <f>IFERROR(VLOOKUP($I351,'Institution Evaluation'!$A$55:$F$345,6,0),IFERROR(VLOOKUP($I351,'Privacy Analyst Evaluation'!$A$46:$F$120,6,0),""))&amp;""</f>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ht="17" x14ac:dyDescent="0.2">
      <c r="A352" s="208" t="str">
        <f>IFERROR(IF($A351+1&gt;'(backend scoring)'!$T$335,"",$A351+1),"")</f>
      </c>
      <c r="B352" s="208">
        <f>_xlfn.XLOOKUP($A352,'(backend scoring)'!$V$2:$V$333,'(backend scoring)'!$A$2:$A$333,"")</f>
      </c>
      <c r="C352" s="208">
        <f>IFERROR(VLOOKUP($B352,'Institution Evaluation'!$A$55:$F$345,2,0),IFERROR(VLOOKUP($B352,'Privacy Analyst Evaluation'!$A$46:$F$120,2,0),""))&amp;""</f>
      </c>
      <c r="D352" s="208">
        <f>IFERROR(VLOOKUP($B352,'Institution Evaluation'!$A$55:$F$345,3,0),IFERROR(VLOOKUP($B352,'Privacy Analyst Evaluation'!$A$46:$F$120,3,0),""))&amp;""</f>
      </c>
      <c r="E352" s="208">
        <f>IFERROR(VLOOKUP($B352,'Institution Evaluation'!$A$55:$F$345,4,0),IFERROR(VLOOKUP($B352,'Privacy Analyst Evaluation'!$A$46:$F$120,4,0),""))&amp;""</f>
      </c>
      <c r="F352" s="208">
        <f>IFERROR(VLOOKUP($B352,'Institution Evaluation'!$A$55:$F$345,6,0),IFERROR(VLOOKUP($B352,'Privacy Analyst Evaluation'!$A$46:$F$120,6,0),""))&amp;""</f>
      </c>
      <c r="G352" s="209"/>
      <c r="H352" s="208" t="str">
        <f>IFERROR(IF($H351+1&gt;'(backend scoring)'!$Q$335,"",$H351+1),"")</f>
      </c>
      <c r="I352" s="208">
        <f>_xlfn.XLOOKUP($H352,'(backend scoring)'!$S$2:$S$333,'(backend scoring)'!$A$2:$A$333,"")</f>
      </c>
      <c r="J352" s="208">
        <f>IFERROR(VLOOKUP($I352,'Institution Evaluation'!$A$55:$F$345,2,0),IFERROR(VLOOKUP($I352,'Privacy Analyst Evaluation'!$A$46:$F$120,2,0),""))</f>
      </c>
      <c r="K352" s="208">
        <f>IFERROR(VLOOKUP($I352,'Institution Evaluation'!$A$55:$F$345,3,0),IFERROR(VLOOKUP($I352,'Privacy Analyst Evaluation'!$A$46:$F$120,3,0),""))&amp;""</f>
      </c>
      <c r="L352" s="208">
        <f>IFERROR(VLOOKUP($I352,'Institution Evaluation'!$A$55:$F$345,4,0),IFERROR(VLOOKUP($I352,'Privacy Analyst Evaluation'!$A$46:$F$120,4,0),""))&amp;""</f>
      </c>
      <c r="M352" s="208">
        <f>IFERROR(VLOOKUP($I352,'Institution Evaluation'!$A$55:$F$345,6,0),IFERROR(VLOOKUP($I352,'Privacy Analyst Evaluation'!$A$46:$F$120,6,0),""))&amp;""</f>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ht="17" x14ac:dyDescent="0.2">
      <c r="A353" s="208" t="str">
        <f>IFERROR(IF($A352+1&gt;'(backend scoring)'!$T$335,"",$A352+1),"")</f>
      </c>
      <c r="B353" s="208">
        <f>_xlfn.XLOOKUP($A353,'(backend scoring)'!$V$2:$V$333,'(backend scoring)'!$A$2:$A$333,"")</f>
      </c>
      <c r="C353" s="208">
        <f>IFERROR(VLOOKUP($B353,'Institution Evaluation'!$A$55:$F$345,2,0),IFERROR(VLOOKUP($B353,'Privacy Analyst Evaluation'!$A$46:$F$120,2,0),""))&amp;""</f>
      </c>
      <c r="D353" s="208">
        <f>IFERROR(VLOOKUP($B353,'Institution Evaluation'!$A$55:$F$345,3,0),IFERROR(VLOOKUP($B353,'Privacy Analyst Evaluation'!$A$46:$F$120,3,0),""))&amp;""</f>
      </c>
      <c r="E353" s="208">
        <f>IFERROR(VLOOKUP($B353,'Institution Evaluation'!$A$55:$F$345,4,0),IFERROR(VLOOKUP($B353,'Privacy Analyst Evaluation'!$A$46:$F$120,4,0),""))&amp;""</f>
      </c>
      <c r="F353" s="208">
        <f>IFERROR(VLOOKUP($B353,'Institution Evaluation'!$A$55:$F$345,6,0),IFERROR(VLOOKUP($B353,'Privacy Analyst Evaluation'!$A$46:$F$120,6,0),""))&amp;""</f>
      </c>
      <c r="G353" s="209"/>
      <c r="H353" s="208" t="str">
        <f>IFERROR(IF($H352+1&gt;'(backend scoring)'!$Q$335,"",$H352+1),"")</f>
      </c>
      <c r="I353" s="208">
        <f>_xlfn.XLOOKUP($H353,'(backend scoring)'!$S$2:$S$333,'(backend scoring)'!$A$2:$A$333,"")</f>
      </c>
      <c r="J353" s="208">
        <f>IFERROR(VLOOKUP($I353,'Institution Evaluation'!$A$55:$F$345,2,0),IFERROR(VLOOKUP($I353,'Privacy Analyst Evaluation'!$A$46:$F$120,2,0),""))</f>
      </c>
      <c r="K353" s="208">
        <f>IFERROR(VLOOKUP($I353,'Institution Evaluation'!$A$55:$F$345,3,0),IFERROR(VLOOKUP($I353,'Privacy Analyst Evaluation'!$A$46:$F$120,3,0),""))&amp;""</f>
      </c>
      <c r="L353" s="208">
        <f>IFERROR(VLOOKUP($I353,'Institution Evaluation'!$A$55:$F$345,4,0),IFERROR(VLOOKUP($I353,'Privacy Analyst Evaluation'!$A$46:$F$120,4,0),""))&amp;""</f>
      </c>
      <c r="M353" s="208">
        <f>IFERROR(VLOOKUP($I353,'Institution Evaluation'!$A$55:$F$345,6,0),IFERROR(VLOOKUP($I353,'Privacy Analyst Evaluation'!$A$46:$F$120,6,0),""))&amp;""</f>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ht="17" x14ac:dyDescent="0.2">
      <c r="A354" s="208" t="str">
        <f>IFERROR(IF($A353+1&gt;'(backend scoring)'!$T$335,"",$A353+1),"")</f>
      </c>
      <c r="B354" s="208">
        <f>_xlfn.XLOOKUP($A354,'(backend scoring)'!$V$2:$V$333,'(backend scoring)'!$A$2:$A$333,"")</f>
      </c>
      <c r="C354" s="208">
        <f>IFERROR(VLOOKUP($B354,'Institution Evaluation'!$A$55:$F$345,2,0),IFERROR(VLOOKUP($B354,'Privacy Analyst Evaluation'!$A$46:$F$120,2,0),""))&amp;""</f>
      </c>
      <c r="D354" s="208">
        <f>IFERROR(VLOOKUP($B354,'Institution Evaluation'!$A$55:$F$345,3,0),IFERROR(VLOOKUP($B354,'Privacy Analyst Evaluation'!$A$46:$F$120,3,0),""))&amp;""</f>
      </c>
      <c r="E354" s="208">
        <f>IFERROR(VLOOKUP($B354,'Institution Evaluation'!$A$55:$F$345,4,0),IFERROR(VLOOKUP($B354,'Privacy Analyst Evaluation'!$A$46:$F$120,4,0),""))&amp;""</f>
      </c>
      <c r="F354" s="208">
        <f>IFERROR(VLOOKUP($B354,'Institution Evaluation'!$A$55:$F$345,6,0),IFERROR(VLOOKUP($B354,'Privacy Analyst Evaluation'!$A$46:$F$120,6,0),""))&amp;""</f>
      </c>
      <c r="G354" s="209"/>
      <c r="H354" s="208" t="str">
        <f>IFERROR(IF($H353+1&gt;'(backend scoring)'!$Q$335,"",$H353+1),"")</f>
      </c>
      <c r="I354" s="208">
        <f>_xlfn.XLOOKUP($H354,'(backend scoring)'!$S$2:$S$333,'(backend scoring)'!$A$2:$A$333,"")</f>
      </c>
      <c r="J354" s="208">
        <f>IFERROR(VLOOKUP($I354,'Institution Evaluation'!$A$55:$F$345,2,0),IFERROR(VLOOKUP($I354,'Privacy Analyst Evaluation'!$A$46:$F$120,2,0),""))</f>
      </c>
      <c r="K354" s="208">
        <f>IFERROR(VLOOKUP($I354,'Institution Evaluation'!$A$55:$F$345,3,0),IFERROR(VLOOKUP($I354,'Privacy Analyst Evaluation'!$A$46:$F$120,3,0),""))&amp;""</f>
      </c>
      <c r="L354" s="208">
        <f>IFERROR(VLOOKUP($I354,'Institution Evaluation'!$A$55:$F$345,4,0),IFERROR(VLOOKUP($I354,'Privacy Analyst Evaluation'!$A$46:$F$120,4,0),""))&amp;""</f>
      </c>
      <c r="M354" s="208">
        <f>IFERROR(VLOOKUP($I354,'Institution Evaluation'!$A$55:$F$345,6,0),IFERROR(VLOOKUP($I354,'Privacy Analyst Evaluation'!$A$46:$F$120,6,0),""))&amp;""</f>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ht="17" x14ac:dyDescent="0.2">
      <c r="A355" s="208" t="str">
        <f>IFERROR(IF($A354+1&gt;'(backend scoring)'!$T$335,"",$A354+1),"")</f>
      </c>
      <c r="B355" s="208">
        <f>_xlfn.XLOOKUP($A355,'(backend scoring)'!$V$2:$V$333,'(backend scoring)'!$A$2:$A$333,"")</f>
      </c>
      <c r="C355" s="208">
        <f>IFERROR(VLOOKUP($B355,'Institution Evaluation'!$A$55:$F$345,2,0),IFERROR(VLOOKUP($B355,'Privacy Analyst Evaluation'!$A$46:$F$120,2,0),""))&amp;""</f>
      </c>
      <c r="D355" s="208">
        <f>IFERROR(VLOOKUP($B355,'Institution Evaluation'!$A$55:$F$345,3,0),IFERROR(VLOOKUP($B355,'Privacy Analyst Evaluation'!$A$46:$F$120,3,0),""))&amp;""</f>
      </c>
      <c r="E355" s="208">
        <f>IFERROR(VLOOKUP($B355,'Institution Evaluation'!$A$55:$F$345,4,0),IFERROR(VLOOKUP($B355,'Privacy Analyst Evaluation'!$A$46:$F$120,4,0),""))&amp;""</f>
      </c>
      <c r="F355" s="208">
        <f>IFERROR(VLOOKUP($B355,'Institution Evaluation'!$A$55:$F$345,6,0),IFERROR(VLOOKUP($B355,'Privacy Analyst Evaluation'!$A$46:$F$120,6,0),""))&amp;""</f>
      </c>
      <c r="G355" s="209"/>
      <c r="H355" s="208" t="str">
        <f>IFERROR(IF($H354+1&gt;'(backend scoring)'!$Q$335,"",$H354+1),"")</f>
      </c>
      <c r="I355" s="208">
        <f>_xlfn.XLOOKUP($H355,'(backend scoring)'!$S$2:$S$333,'(backend scoring)'!$A$2:$A$333,"")</f>
      </c>
      <c r="J355" s="208">
        <f>IFERROR(VLOOKUP($I355,'Institution Evaluation'!$A$55:$F$345,2,0),IFERROR(VLOOKUP($I355,'Privacy Analyst Evaluation'!$A$46:$F$120,2,0),""))</f>
      </c>
      <c r="K355" s="208">
        <f>IFERROR(VLOOKUP($I355,'Institution Evaluation'!$A$55:$F$345,3,0),IFERROR(VLOOKUP($I355,'Privacy Analyst Evaluation'!$A$46:$F$120,3,0),""))&amp;""</f>
      </c>
      <c r="L355" s="208">
        <f>IFERROR(VLOOKUP($I355,'Institution Evaluation'!$A$55:$F$345,4,0),IFERROR(VLOOKUP($I355,'Privacy Analyst Evaluation'!$A$46:$F$120,4,0),""))&amp;""</f>
      </c>
      <c r="M355" s="208">
        <f>IFERROR(VLOOKUP($I355,'Institution Evaluation'!$A$55:$F$345,6,0),IFERROR(VLOOKUP($I355,'Privacy Analyst Evaluation'!$A$46:$F$120,6,0),""))&amp;""</f>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ht="17" x14ac:dyDescent="0.2">
      <c r="A356" s="208" t="str">
        <f>IFERROR(IF($A355+1&gt;'(backend scoring)'!$T$335,"",$A355+1),"")</f>
      </c>
      <c r="B356" s="208">
        <f>_xlfn.XLOOKUP($A356,'(backend scoring)'!$V$2:$V$333,'(backend scoring)'!$A$2:$A$333,"")</f>
      </c>
      <c r="C356" s="208">
        <f>IFERROR(VLOOKUP($B356,'Institution Evaluation'!$A$55:$F$345,2,0),IFERROR(VLOOKUP($B356,'Privacy Analyst Evaluation'!$A$46:$F$120,2,0),""))&amp;""</f>
      </c>
      <c r="D356" s="208">
        <f>IFERROR(VLOOKUP($B356,'Institution Evaluation'!$A$55:$F$345,3,0),IFERROR(VLOOKUP($B356,'Privacy Analyst Evaluation'!$A$46:$F$120,3,0),""))&amp;""</f>
      </c>
      <c r="E356" s="208">
        <f>IFERROR(VLOOKUP($B356,'Institution Evaluation'!$A$55:$F$345,4,0),IFERROR(VLOOKUP($B356,'Privacy Analyst Evaluation'!$A$46:$F$120,4,0),""))&amp;""</f>
      </c>
      <c r="F356" s="208">
        <f>IFERROR(VLOOKUP($B356,'Institution Evaluation'!$A$55:$F$345,6,0),IFERROR(VLOOKUP($B356,'Privacy Analyst Evaluation'!$A$46:$F$120,6,0),""))&amp;""</f>
      </c>
      <c r="G356" s="209"/>
      <c r="H356" s="208" t="str">
        <f>IFERROR(IF($H355+1&gt;'(backend scoring)'!$Q$335,"",$H355+1),"")</f>
      </c>
      <c r="I356" s="208">
        <f>_xlfn.XLOOKUP($H356,'(backend scoring)'!$S$2:$S$333,'(backend scoring)'!$A$2:$A$333,"")</f>
      </c>
      <c r="J356" s="208">
        <f>IFERROR(VLOOKUP($I356,'Institution Evaluation'!$A$55:$F$345,2,0),IFERROR(VLOOKUP($I356,'Privacy Analyst Evaluation'!$A$46:$F$120,2,0),""))</f>
      </c>
      <c r="K356" s="208">
        <f>IFERROR(VLOOKUP($I356,'Institution Evaluation'!$A$55:$F$345,3,0),IFERROR(VLOOKUP($I356,'Privacy Analyst Evaluation'!$A$46:$F$120,3,0),""))&amp;""</f>
      </c>
      <c r="L356" s="208">
        <f>IFERROR(VLOOKUP($I356,'Institution Evaluation'!$A$55:$F$345,4,0),IFERROR(VLOOKUP($I356,'Privacy Analyst Evaluation'!$A$46:$F$120,4,0),""))&amp;""</f>
      </c>
      <c r="M356" s="208">
        <f>IFERROR(VLOOKUP($I356,'Institution Evaluation'!$A$55:$F$345,6,0),IFERROR(VLOOKUP($I356,'Privacy Analyst Evaluation'!$A$46:$F$120,6,0),""))&amp;""</f>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ht="17" x14ac:dyDescent="0.2">
      <c r="A357" s="208" t="str">
        <f>IFERROR(IF($A356+1&gt;'(backend scoring)'!$T$335,"",$A356+1),"")</f>
      </c>
      <c r="B357" s="208">
        <f>_xlfn.XLOOKUP($A357,'(backend scoring)'!$V$2:$V$333,'(backend scoring)'!$A$2:$A$333,"")</f>
      </c>
      <c r="C357" s="208">
        <f>IFERROR(VLOOKUP($B357,'Institution Evaluation'!$A$55:$F$345,2,0),IFERROR(VLOOKUP($B357,'Privacy Analyst Evaluation'!$A$46:$F$120,2,0),""))&amp;""</f>
      </c>
      <c r="D357" s="208">
        <f>IFERROR(VLOOKUP($B357,'Institution Evaluation'!$A$55:$F$345,3,0),IFERROR(VLOOKUP($B357,'Privacy Analyst Evaluation'!$A$46:$F$120,3,0),""))&amp;""</f>
      </c>
      <c r="E357" s="208">
        <f>IFERROR(VLOOKUP($B357,'Institution Evaluation'!$A$55:$F$345,4,0),IFERROR(VLOOKUP($B357,'Privacy Analyst Evaluation'!$A$46:$F$120,4,0),""))&amp;""</f>
      </c>
      <c r="F357" s="208">
        <f>IFERROR(VLOOKUP($B357,'Institution Evaluation'!$A$55:$F$345,6,0),IFERROR(VLOOKUP($B357,'Privacy Analyst Evaluation'!$A$46:$F$120,6,0),""))&amp;""</f>
      </c>
      <c r="G357" s="209"/>
      <c r="H357" s="208" t="str">
        <f>IFERROR(IF($H356+1&gt;'(backend scoring)'!$Q$335,"",$H356+1),"")</f>
      </c>
      <c r="I357" s="208">
        <f>_xlfn.XLOOKUP($H357,'(backend scoring)'!$S$2:$S$333,'(backend scoring)'!$A$2:$A$333,"")</f>
      </c>
      <c r="J357" s="208">
        <f>IFERROR(VLOOKUP($I357,'Institution Evaluation'!$A$55:$F$345,2,0),IFERROR(VLOOKUP($I357,'Privacy Analyst Evaluation'!$A$46:$F$120,2,0),""))</f>
      </c>
      <c r="K357" s="208">
        <f>IFERROR(VLOOKUP($I357,'Institution Evaluation'!$A$55:$F$345,3,0),IFERROR(VLOOKUP($I357,'Privacy Analyst Evaluation'!$A$46:$F$120,3,0),""))&amp;""</f>
      </c>
      <c r="L357" s="208">
        <f>IFERROR(VLOOKUP($I357,'Institution Evaluation'!$A$55:$F$345,4,0),IFERROR(VLOOKUP($I357,'Privacy Analyst Evaluation'!$A$46:$F$120,4,0),""))&amp;""</f>
      </c>
      <c r="M357" s="208">
        <f>IFERROR(VLOOKUP($I357,'Institution Evaluation'!$A$55:$F$345,6,0),IFERROR(VLOOKUP($I357,'Privacy Analyst Evaluation'!$A$46:$F$120,6,0),""))&amp;""</f>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ht="17" x14ac:dyDescent="0.2">
      <c r="A358" s="208" t="str">
        <f>IFERROR(IF($A357+1&gt;'(backend scoring)'!$T$335,"",$A357+1),"")</f>
      </c>
      <c r="B358" s="208">
        <f>_xlfn.XLOOKUP($A358,'(backend scoring)'!$V$2:$V$333,'(backend scoring)'!$A$2:$A$333,"")</f>
      </c>
      <c r="C358" s="208">
        <f>IFERROR(VLOOKUP($B358,'Institution Evaluation'!$A$55:$F$345,2,0),IFERROR(VLOOKUP($B358,'Privacy Analyst Evaluation'!$A$46:$F$120,2,0),""))&amp;""</f>
      </c>
      <c r="D358" s="208">
        <f>IFERROR(VLOOKUP($B358,'Institution Evaluation'!$A$55:$F$345,3,0),IFERROR(VLOOKUP($B358,'Privacy Analyst Evaluation'!$A$46:$F$120,3,0),""))&amp;""</f>
      </c>
      <c r="E358" s="208">
        <f>IFERROR(VLOOKUP($B358,'Institution Evaluation'!$A$55:$F$345,4,0),IFERROR(VLOOKUP($B358,'Privacy Analyst Evaluation'!$A$46:$F$120,4,0),""))&amp;""</f>
      </c>
      <c r="F358" s="208">
        <f>IFERROR(VLOOKUP($B358,'Institution Evaluation'!$A$55:$F$345,6,0),IFERROR(VLOOKUP($B358,'Privacy Analyst Evaluation'!$A$46:$F$120,6,0),""))&amp;""</f>
      </c>
      <c r="G358" s="209"/>
      <c r="H358" s="208" t="str">
        <f>IFERROR(IF($H357+1&gt;'(backend scoring)'!$Q$335,"",$H357+1),"")</f>
      </c>
      <c r="I358" s="208">
        <f>_xlfn.XLOOKUP($H358,'(backend scoring)'!$S$2:$S$333,'(backend scoring)'!$A$2:$A$333,"")</f>
      </c>
      <c r="J358" s="208">
        <f>IFERROR(VLOOKUP($I358,'Institution Evaluation'!$A$55:$F$345,2,0),IFERROR(VLOOKUP($I358,'Privacy Analyst Evaluation'!$A$46:$F$120,2,0),""))</f>
      </c>
      <c r="K358" s="208">
        <f>IFERROR(VLOOKUP($I358,'Institution Evaluation'!$A$55:$F$345,3,0),IFERROR(VLOOKUP($I358,'Privacy Analyst Evaluation'!$A$46:$F$120,3,0),""))&amp;""</f>
      </c>
      <c r="L358" s="208">
        <f>IFERROR(VLOOKUP($I358,'Institution Evaluation'!$A$55:$F$345,4,0),IFERROR(VLOOKUP($I358,'Privacy Analyst Evaluation'!$A$46:$F$120,4,0),""))&amp;""</f>
      </c>
      <c r="M358" s="208">
        <f>IFERROR(VLOOKUP($I358,'Institution Evaluation'!$A$55:$F$345,6,0),IFERROR(VLOOKUP($I358,'Privacy Analyst Evaluation'!$A$46:$F$120,6,0),""))&amp;""</f>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ht="17" x14ac:dyDescent="0.2">
      <c r="A359" s="208" t="str">
        <f>IFERROR(IF($A358+1&gt;'(backend scoring)'!$T$335,"",$A358+1),"")</f>
      </c>
      <c r="B359" s="208">
        <f>_xlfn.XLOOKUP($A359,'(backend scoring)'!$V$2:$V$333,'(backend scoring)'!$A$2:$A$333,"")</f>
      </c>
      <c r="C359" s="208">
        <f>IFERROR(VLOOKUP($B359,'Institution Evaluation'!$A$55:$F$345,2,0),IFERROR(VLOOKUP($B359,'Privacy Analyst Evaluation'!$A$46:$F$120,2,0),""))&amp;""</f>
      </c>
      <c r="D359" s="208">
        <f>IFERROR(VLOOKUP($B359,'Institution Evaluation'!$A$55:$F$345,3,0),IFERROR(VLOOKUP($B359,'Privacy Analyst Evaluation'!$A$46:$F$120,3,0),""))&amp;""</f>
      </c>
      <c r="E359" s="208">
        <f>IFERROR(VLOOKUP($B359,'Institution Evaluation'!$A$55:$F$345,4,0),IFERROR(VLOOKUP($B359,'Privacy Analyst Evaluation'!$A$46:$F$120,4,0),""))&amp;""</f>
      </c>
      <c r="F359" s="208">
        <f>IFERROR(VLOOKUP($B359,'Institution Evaluation'!$A$55:$F$345,6,0),IFERROR(VLOOKUP($B359,'Privacy Analyst Evaluation'!$A$46:$F$120,6,0),""))&amp;""</f>
      </c>
      <c r="G359" s="209"/>
      <c r="H359" s="208" t="str">
        <f>IFERROR(IF($H358+1&gt;'(backend scoring)'!$Q$335,"",$H358+1),"")</f>
      </c>
      <c r="I359" s="208">
        <f>_xlfn.XLOOKUP($H359,'(backend scoring)'!$S$2:$S$333,'(backend scoring)'!$A$2:$A$333,"")</f>
      </c>
      <c r="J359" s="208">
        <f>IFERROR(VLOOKUP($I359,'Institution Evaluation'!$A$55:$F$345,2,0),IFERROR(VLOOKUP($I359,'Privacy Analyst Evaluation'!$A$46:$F$120,2,0),""))</f>
      </c>
      <c r="K359" s="208">
        <f>IFERROR(VLOOKUP($I359,'Institution Evaluation'!$A$55:$F$345,3,0),IFERROR(VLOOKUP($I359,'Privacy Analyst Evaluation'!$A$46:$F$120,3,0),""))&amp;""</f>
      </c>
      <c r="L359" s="208">
        <f>IFERROR(VLOOKUP($I359,'Institution Evaluation'!$A$55:$F$345,4,0),IFERROR(VLOOKUP($I359,'Privacy Analyst Evaluation'!$A$46:$F$120,4,0),""))&amp;""</f>
      </c>
      <c r="M359" s="208">
        <f>IFERROR(VLOOKUP($I359,'Institution Evaluation'!$A$55:$F$345,6,0),IFERROR(VLOOKUP($I359,'Privacy Analyst Evaluation'!$A$46:$F$120,6,0),""))&amp;""</f>
      </c>
    </row>
    <row r="360" spans="1:338" ht="17" x14ac:dyDescent="0.2">
      <c r="A360" s="208">
        <f>IFERROR(IF($A359+1&gt;'(backend scoring)'!$T$335,"",$A359+1),"")</f>
      </c>
      <c r="B360" s="208">
        <f>_xlfn.XLOOKUP($A360,'(backend scoring)'!$V$2:$V$333,'(backend scoring)'!$A$2:$A$333,"")</f>
      </c>
      <c r="C360" s="208">
        <f>IFERROR(VLOOKUP($B360,'Institution Evaluation'!$A$55:$F$345,2,0),IFERROR(VLOOKUP($B360,'Privacy Analyst Evaluation'!$A$46:$F$120,2,0),""))&amp;""</f>
      </c>
      <c r="D360" s="208">
        <f>IFERROR(VLOOKUP($B360,'Institution Evaluation'!$A$55:$F$345,3,0),IFERROR(VLOOKUP($B360,'Privacy Analyst Evaluation'!$A$46:$F$120,3,0),""))&amp;""</f>
      </c>
      <c r="E360" s="208">
        <f>IFERROR(VLOOKUP($B360,'Institution Evaluation'!$A$55:$F$345,4,0),IFERROR(VLOOKUP($B360,'Privacy Analyst Evaluation'!$A$46:$F$120,4,0),""))&amp;""</f>
      </c>
      <c r="F360" s="208">
        <f>IFERROR(VLOOKUP($B360,'Institution Evaluation'!$A$55:$F$345,6,0),IFERROR(VLOOKUP($B360,'Privacy Analyst Evaluation'!$A$46:$F$120,6,0),""))&amp;""</f>
      </c>
      <c r="G360" s="209"/>
      <c r="H360" s="208" t="str">
        <f>IFERROR(IF($H359+1&gt;'(backend scoring)'!$Q$335,"",$H359+1),"")</f>
      </c>
      <c r="I360" s="208">
        <f>_xlfn.XLOOKUP($H360,'(backend scoring)'!$S$2:$S$333,'(backend scoring)'!$A$2:$A$333,"")</f>
      </c>
      <c r="J360" s="208">
        <f>IFERROR(VLOOKUP($I360,'Institution Evaluation'!$A$55:$F$345,2,0),IFERROR(VLOOKUP($I360,'Privacy Analyst Evaluation'!$A$46:$F$120,2,0),""))</f>
      </c>
      <c r="K360" s="208">
        <f>IFERROR(VLOOKUP($I360,'Institution Evaluation'!$A$55:$F$345,3,0),IFERROR(VLOOKUP($I360,'Privacy Analyst Evaluation'!$A$46:$F$120,3,0),""))&amp;""</f>
      </c>
      <c r="L360" s="208">
        <f>IFERROR(VLOOKUP($I360,'Institution Evaluation'!$A$55:$F$345,4,0),IFERROR(VLOOKUP($I360,'Privacy Analyst Evaluation'!$A$46:$F$120,4,0),""))&amp;""</f>
      </c>
      <c r="M360" s="208">
        <f>IFERROR(VLOOKUP($I360,'Institution Evaluation'!$A$55:$F$345,6,0),IFERROR(VLOOKUP($I360,'Privacy Analyst Evaluation'!$A$46:$F$120,6,0),""))&amp;""</f>
      </c>
    </row>
    <row r="361" spans="1:338" ht="17" x14ac:dyDescent="0.2">
      <c r="A361" s="208">
        <f>IFERROR(IF($A360+1&gt;'(backend scoring)'!$T$335,"",$A360+1),"")</f>
      </c>
      <c r="B361" s="208">
        <f>_xlfn.XLOOKUP($A361,'(backend scoring)'!$V$2:$V$333,'(backend scoring)'!$A$2:$A$333,"")</f>
      </c>
      <c r="C361" s="208">
        <f>IFERROR(VLOOKUP($B361,'Institution Evaluation'!$A$55:$F$345,2,0),IFERROR(VLOOKUP($B361,'Privacy Analyst Evaluation'!$A$46:$F$120,2,0),""))&amp;""</f>
      </c>
      <c r="D361" s="208">
        <f>IFERROR(VLOOKUP($B361,'Institution Evaluation'!$A$55:$F$345,3,0),IFERROR(VLOOKUP($B361,'Privacy Analyst Evaluation'!$A$46:$F$120,3,0),""))&amp;""</f>
      </c>
      <c r="E361" s="208">
        <f>IFERROR(VLOOKUP($B361,'Institution Evaluation'!$A$55:$F$345,4,0),IFERROR(VLOOKUP($B361,'Privacy Analyst Evaluation'!$A$46:$F$120,4,0),""))&amp;""</f>
      </c>
      <c r="F361" s="208">
        <f>IFERROR(VLOOKUP($B361,'Institution Evaluation'!$A$55:$F$345,6,0),IFERROR(VLOOKUP($B361,'Privacy Analyst Evaluation'!$A$46:$F$120,6,0),""))&amp;""</f>
      </c>
      <c r="G361" s="209"/>
      <c r="H361" s="208" t="str">
        <f>IFERROR(IF($H360+1&gt;'(backend scoring)'!$Q$335,"",$H360+1),"")</f>
      </c>
      <c r="I361" s="208">
        <f>_xlfn.XLOOKUP($H361,'(backend scoring)'!$S$2:$S$333,'(backend scoring)'!$A$2:$A$333,"")</f>
      </c>
      <c r="J361" s="208">
        <f>IFERROR(VLOOKUP($I361,'Institution Evaluation'!$A$55:$F$345,2,0),IFERROR(VLOOKUP($I361,'Privacy Analyst Evaluation'!$A$46:$F$120,2,0),""))</f>
      </c>
      <c r="K361" s="208">
        <f>IFERROR(VLOOKUP($I361,'Institution Evaluation'!$A$55:$F$345,3,0),IFERROR(VLOOKUP($I361,'Privacy Analyst Evaluation'!$A$46:$F$120,3,0),""))&amp;""</f>
      </c>
      <c r="L361" s="208">
        <f>IFERROR(VLOOKUP($I361,'Institution Evaluation'!$A$55:$F$345,4,0),IFERROR(VLOOKUP($I361,'Privacy Analyst Evaluation'!$A$46:$F$120,4,0),""))&amp;""</f>
      </c>
      <c r="M361" s="208">
        <f>IFERROR(VLOOKUP($I361,'Institution Evaluation'!$A$55:$F$345,6,0),IFERROR(VLOOKUP($I361,'Privacy Analyst Evaluation'!$A$46:$F$120,6,0),""))&amp;""</f>
      </c>
    </row>
    <row r="362" spans="1:338" ht="17" x14ac:dyDescent="0.2">
      <c r="A362" s="208">
        <f>IFERROR(IF($A361+1&gt;'(backend scoring)'!$T$335,"",$A361+1),"")</f>
      </c>
      <c r="B362" s="208">
        <f>_xlfn.XLOOKUP($A362,'(backend scoring)'!$V$2:$V$333,'(backend scoring)'!$A$2:$A$333,"")</f>
      </c>
      <c r="C362" s="208">
        <f>IFERROR(VLOOKUP($B362,'Institution Evaluation'!$A$55:$F$345,2,0),IFERROR(VLOOKUP($B362,'Privacy Analyst Evaluation'!$A$46:$F$120,2,0),""))&amp;""</f>
      </c>
      <c r="D362" s="208">
        <f>IFERROR(VLOOKUP($B362,'Institution Evaluation'!$A$55:$F$345,3,0),IFERROR(VLOOKUP($B362,'Privacy Analyst Evaluation'!$A$46:$F$120,3,0),""))&amp;""</f>
      </c>
      <c r="E362" s="208">
        <f>IFERROR(VLOOKUP($B362,'Institution Evaluation'!$A$55:$F$345,4,0),IFERROR(VLOOKUP($B362,'Privacy Analyst Evaluation'!$A$46:$F$120,4,0),""))&amp;""</f>
      </c>
      <c r="F362" s="208">
        <f>IFERROR(VLOOKUP($B362,'Institution Evaluation'!$A$55:$F$345,6,0),IFERROR(VLOOKUP($B362,'Privacy Analyst Evaluation'!$A$46:$F$120,6,0),""))&amp;""</f>
      </c>
      <c r="G362" s="209"/>
      <c r="H362" s="208" t="str">
        <f>IFERROR(IF($H361+1&gt;'(backend scoring)'!$Q$335,"",$H361+1),"")</f>
      </c>
      <c r="I362" s="208">
        <f>_xlfn.XLOOKUP($H362,'(backend scoring)'!$S$2:$S$333,'(backend scoring)'!$A$2:$A$333,"")</f>
      </c>
      <c r="J362" s="208">
        <f>IFERROR(VLOOKUP($I362,'Institution Evaluation'!$A$55:$F$345,2,0),IFERROR(VLOOKUP($I362,'Privacy Analyst Evaluation'!$A$46:$F$120,2,0),""))</f>
      </c>
      <c r="K362" s="208">
        <f>IFERROR(VLOOKUP($I362,'Institution Evaluation'!$A$55:$F$345,3,0),IFERROR(VLOOKUP($I362,'Privacy Analyst Evaluation'!$A$46:$F$120,3,0),""))&amp;""</f>
      </c>
      <c r="L362" s="208">
        <f>IFERROR(VLOOKUP($I362,'Institution Evaluation'!$A$55:$F$345,4,0),IFERROR(VLOOKUP($I362,'Privacy Analyst Evaluation'!$A$46:$F$120,4,0),""))&amp;""</f>
      </c>
      <c r="M362" s="208">
        <f>IFERROR(VLOOKUP($I362,'Institution Evaluation'!$A$55:$F$345,6,0),IFERROR(VLOOKUP($I362,'Privacy Analyst Evaluation'!$A$46:$F$120,6,0),""))&amp;""</f>
      </c>
    </row>
    <row r="363" spans="1:338" ht="17" x14ac:dyDescent="0.2">
      <c r="A363" s="208">
        <f>IFERROR(IF($A362+1&gt;'(backend scoring)'!$T$335,"",$A362+1),"")</f>
      </c>
      <c r="B363" s="208">
        <f>_xlfn.XLOOKUP($A363,'(backend scoring)'!$V$2:$V$333,'(backend scoring)'!$A$2:$A$333,"")</f>
      </c>
      <c r="C363" s="208">
        <f>IFERROR(VLOOKUP($B363,'Institution Evaluation'!$A$55:$F$345,2,0),IFERROR(VLOOKUP($B363,'Privacy Analyst Evaluation'!$A$46:$F$120,2,0),""))&amp;""</f>
      </c>
      <c r="D363" s="208">
        <f>IFERROR(VLOOKUP($B363,'Institution Evaluation'!$A$55:$F$345,3,0),IFERROR(VLOOKUP($B363,'Privacy Analyst Evaluation'!$A$46:$F$120,3,0),""))&amp;""</f>
      </c>
      <c r="E363" s="208">
        <f>IFERROR(VLOOKUP($B363,'Institution Evaluation'!$A$55:$F$345,4,0),IFERROR(VLOOKUP($B363,'Privacy Analyst Evaluation'!$A$46:$F$120,4,0),""))&amp;""</f>
      </c>
      <c r="F363" s="208">
        <f>IFERROR(VLOOKUP($B363,'Institution Evaluation'!$A$55:$F$345,6,0),IFERROR(VLOOKUP($B363,'Privacy Analyst Evaluation'!$A$46:$F$120,6,0),""))&amp;""</f>
      </c>
      <c r="G363" s="209"/>
      <c r="H363" s="208" t="str">
        <f>IFERROR(IF($H362+1&gt;'(backend scoring)'!$Q$335,"",$H362+1),"")</f>
      </c>
      <c r="I363" s="208">
        <f>_xlfn.XLOOKUP($H363,'(backend scoring)'!$S$2:$S$333,'(backend scoring)'!$A$2:$A$333,"")</f>
      </c>
      <c r="J363" s="208">
        <f>IFERROR(VLOOKUP($I363,'Institution Evaluation'!$A$55:$F$345,2,0),IFERROR(VLOOKUP($I363,'Privacy Analyst Evaluation'!$A$46:$F$120,2,0),""))</f>
      </c>
      <c r="K363" s="208">
        <f>IFERROR(VLOOKUP($I363,'Institution Evaluation'!$A$55:$F$345,3,0),IFERROR(VLOOKUP($I363,'Privacy Analyst Evaluation'!$A$46:$F$120,3,0),""))&amp;""</f>
      </c>
      <c r="L363" s="208">
        <f>IFERROR(VLOOKUP($I363,'Institution Evaluation'!$A$55:$F$345,4,0),IFERROR(VLOOKUP($I363,'Privacy Analyst Evaluation'!$A$46:$F$120,4,0),""))&amp;""</f>
      </c>
      <c r="M363" s="208">
        <f>IFERROR(VLOOKUP($I363,'Institution Evaluation'!$A$55:$F$345,6,0),IFERROR(VLOOKUP($I363,'Privacy Analyst Evaluation'!$A$46:$F$120,6,0),""))&amp;""</f>
      </c>
    </row>
    <row r="364" spans="1:338" ht="17" x14ac:dyDescent="0.2">
      <c r="A364" s="208">
        <f>IFERROR(IF($A363+1&gt;'(backend scoring)'!$T$335,"",$A363+1),"")</f>
      </c>
      <c r="B364" s="208">
        <f>_xlfn.XLOOKUP($A364,'(backend scoring)'!$V$2:$V$333,'(backend scoring)'!$A$2:$A$333,"")</f>
      </c>
      <c r="C364" s="208">
        <f>IFERROR(VLOOKUP($B364,'Institution Evaluation'!$A$55:$F$345,2,0),IFERROR(VLOOKUP($B364,'Privacy Analyst Evaluation'!$A$46:$F$120,2,0),""))&amp;""</f>
      </c>
      <c r="D364" s="208">
        <f>IFERROR(VLOOKUP($B364,'Institution Evaluation'!$A$55:$F$345,3,0),IFERROR(VLOOKUP($B364,'Privacy Analyst Evaluation'!$A$46:$F$120,3,0),""))&amp;""</f>
      </c>
      <c r="E364" s="208">
        <f>IFERROR(VLOOKUP($B364,'Institution Evaluation'!$A$55:$F$345,4,0),IFERROR(VLOOKUP($B364,'Privacy Analyst Evaluation'!$A$46:$F$120,4,0),""))&amp;""</f>
      </c>
      <c r="F364" s="208">
        <f>IFERROR(VLOOKUP($B364,'Institution Evaluation'!$A$55:$F$345,6,0),IFERROR(VLOOKUP($B364,'Privacy Analyst Evaluation'!$A$46:$F$120,6,0),""))&amp;""</f>
      </c>
      <c r="G364" s="209"/>
      <c r="H364" s="208" t="str">
        <f>IFERROR(IF($H363+1&gt;'(backend scoring)'!$Q$335,"",$H363+1),"")</f>
      </c>
      <c r="I364" s="208">
        <f>_xlfn.XLOOKUP($H364,'(backend scoring)'!$S$2:$S$333,'(backend scoring)'!$A$2:$A$333,"")</f>
      </c>
      <c r="J364" s="208">
        <f>IFERROR(VLOOKUP($I364,'Institution Evaluation'!$A$55:$F$345,2,0),IFERROR(VLOOKUP($I364,'Privacy Analyst Evaluation'!$A$46:$F$120,2,0),""))</f>
      </c>
      <c r="K364" s="208">
        <f>IFERROR(VLOOKUP($I364,'Institution Evaluation'!$A$55:$F$345,3,0),IFERROR(VLOOKUP($I364,'Privacy Analyst Evaluation'!$A$46:$F$120,3,0),""))&amp;""</f>
      </c>
      <c r="L364" s="208">
        <f>IFERROR(VLOOKUP($I364,'Institution Evaluation'!$A$55:$F$345,4,0),IFERROR(VLOOKUP($I364,'Privacy Analyst Evaluation'!$A$46:$F$120,4,0),""))&amp;""</f>
      </c>
      <c r="M364" s="208">
        <f>IFERROR(VLOOKUP($I364,'Institution Evaluation'!$A$55:$F$345,6,0),IFERROR(VLOOKUP($I364,'Privacy Analyst Evaluation'!$A$46:$F$120,6,0),""))&amp;""</f>
      </c>
    </row>
    <row r="365" spans="1:338" ht="17" x14ac:dyDescent="0.2">
      <c r="A365" s="208">
        <f>IFERROR(IF($A364+1&gt;'(backend scoring)'!$T$335,"",$A364+1),"")</f>
      </c>
      <c r="B365" s="208">
        <f>_xlfn.XLOOKUP($A365,'(backend scoring)'!$V$2:$V$333,'(backend scoring)'!$A$2:$A$333,"")</f>
      </c>
      <c r="C365" s="208">
        <f>IFERROR(VLOOKUP($B365,'Institution Evaluation'!$A$55:$F$345,2,0),IFERROR(VLOOKUP($B365,'Privacy Analyst Evaluation'!$A$46:$F$120,2,0),""))&amp;""</f>
      </c>
      <c r="D365" s="208">
        <f>IFERROR(VLOOKUP($B365,'Institution Evaluation'!$A$55:$F$345,3,0),IFERROR(VLOOKUP($B365,'Privacy Analyst Evaluation'!$A$46:$F$120,3,0),""))&amp;""</f>
      </c>
      <c r="E365" s="208">
        <f>IFERROR(VLOOKUP($B365,'Institution Evaluation'!$A$55:$F$345,4,0),IFERROR(VLOOKUP($B365,'Privacy Analyst Evaluation'!$A$46:$F$120,4,0),""))&amp;""</f>
      </c>
      <c r="F365" s="208">
        <f>IFERROR(VLOOKUP($B365,'Institution Evaluation'!$A$55:$F$345,6,0),IFERROR(VLOOKUP($B365,'Privacy Analyst Evaluation'!$A$46:$F$120,6,0),""))&amp;""</f>
      </c>
      <c r="G365" s="209"/>
      <c r="H365" s="208" t="str">
        <f>IFERROR(IF($H364+1&gt;'(backend scoring)'!$Q$335,"",$H364+1),"")</f>
      </c>
      <c r="I365" s="208">
        <f>_xlfn.XLOOKUP($H365,'(backend scoring)'!$S$2:$S$333,'(backend scoring)'!$A$2:$A$333,"")</f>
      </c>
      <c r="J365" s="208">
        <f>IFERROR(VLOOKUP($I365,'Institution Evaluation'!$A$55:$F$345,2,0),IFERROR(VLOOKUP($I365,'Privacy Analyst Evaluation'!$A$46:$F$120,2,0),""))</f>
      </c>
      <c r="K365" s="208">
        <f>IFERROR(VLOOKUP($I365,'Institution Evaluation'!$A$55:$F$345,3,0),IFERROR(VLOOKUP($I365,'Privacy Analyst Evaluation'!$A$46:$F$120,3,0),""))&amp;""</f>
      </c>
      <c r="L365" s="208">
        <f>IFERROR(VLOOKUP($I365,'Institution Evaluation'!$A$55:$F$345,4,0),IFERROR(VLOOKUP($I365,'Privacy Analyst Evaluation'!$A$46:$F$120,4,0),""))&amp;""</f>
      </c>
      <c r="M365" s="208">
        <f>IFERROR(VLOOKUP($I365,'Institution Evaluation'!$A$55:$F$345,6,0),IFERROR(VLOOKUP($I365,'Privacy Analyst Evaluation'!$A$46:$F$120,6,0),""))&amp;""</f>
      </c>
    </row>
    <row r="366" spans="1:338" ht="17" x14ac:dyDescent="0.2">
      <c r="A366" s="208">
        <f>IFERROR(IF($A365+1&gt;'(backend scoring)'!$T$335,"",$A365+1),"")</f>
      </c>
      <c r="B366" s="208">
        <f>_xlfn.XLOOKUP($A366,'(backend scoring)'!$V$2:$V$333,'(backend scoring)'!$A$2:$A$333,"")</f>
      </c>
      <c r="C366" s="208">
        <f>IFERROR(VLOOKUP($B366,'Institution Evaluation'!$A$55:$F$345,2,0),IFERROR(VLOOKUP($B366,'Privacy Analyst Evaluation'!$A$46:$F$120,2,0),""))&amp;""</f>
      </c>
      <c r="D366" s="208">
        <f>IFERROR(VLOOKUP($B366,'Institution Evaluation'!$A$55:$F$345,3,0),IFERROR(VLOOKUP($B366,'Privacy Analyst Evaluation'!$A$46:$F$120,3,0),""))&amp;""</f>
      </c>
      <c r="E366" s="208">
        <f>IFERROR(VLOOKUP($B366,'Institution Evaluation'!$A$55:$F$345,4,0),IFERROR(VLOOKUP($B366,'Privacy Analyst Evaluation'!$A$46:$F$120,4,0),""))&amp;""</f>
      </c>
      <c r="F366" s="208">
        <f>IFERROR(VLOOKUP($B366,'Institution Evaluation'!$A$55:$F$345,6,0),IFERROR(VLOOKUP($B366,'Privacy Analyst Evaluation'!$A$46:$F$120,6,0),""))&amp;""</f>
      </c>
      <c r="G366" s="209"/>
      <c r="H366" s="208" t="str">
        <f>IFERROR(IF($H365+1&gt;'(backend scoring)'!$Q$335,"",$H365+1),"")</f>
      </c>
      <c r="I366" s="208">
        <f>_xlfn.XLOOKUP($H366,'(backend scoring)'!$S$2:$S$333,'(backend scoring)'!$A$2:$A$333,"")</f>
      </c>
      <c r="J366" s="208">
        <f>IFERROR(VLOOKUP($I366,'Institution Evaluation'!$A$55:$F$345,2,0),IFERROR(VLOOKUP($I366,'Privacy Analyst Evaluation'!$A$46:$F$120,2,0),""))</f>
      </c>
      <c r="K366" s="208">
        <f>IFERROR(VLOOKUP($I366,'Institution Evaluation'!$A$55:$F$345,3,0),IFERROR(VLOOKUP($I366,'Privacy Analyst Evaluation'!$A$46:$F$120,3,0),""))&amp;""</f>
      </c>
      <c r="L366" s="208">
        <f>IFERROR(VLOOKUP($I366,'Institution Evaluation'!$A$55:$F$345,4,0),IFERROR(VLOOKUP($I366,'Privacy Analyst Evaluation'!$A$46:$F$120,4,0),""))&amp;""</f>
      </c>
      <c r="M366" s="208">
        <f>IFERROR(VLOOKUP($I366,'Institution Evaluation'!$A$55:$F$345,6,0),IFERROR(VLOOKUP($I366,'Privacy Analyst Evaluation'!$A$46:$F$120,6,0),""))&amp;""</f>
      </c>
    </row>
    <row r="367" spans="1:338" ht="17" x14ac:dyDescent="0.2">
      <c r="A367" s="208">
        <f>IFERROR(IF($A366+1&gt;'(backend scoring)'!$T$335,"",$A366+1),"")</f>
      </c>
      <c r="B367" s="208">
        <f>_xlfn.XLOOKUP($A367,'(backend scoring)'!$V$2:$V$333,'(backend scoring)'!$A$2:$A$333,"")</f>
      </c>
      <c r="C367" s="208">
        <f>IFERROR(VLOOKUP($B367,'Institution Evaluation'!$A$55:$F$345,2,0),IFERROR(VLOOKUP($B367,'Privacy Analyst Evaluation'!$A$46:$F$120,2,0),""))&amp;""</f>
      </c>
      <c r="D367" s="208">
        <f>IFERROR(VLOOKUP($B367,'Institution Evaluation'!$A$55:$F$345,3,0),IFERROR(VLOOKUP($B367,'Privacy Analyst Evaluation'!$A$46:$F$120,3,0),""))&amp;""</f>
      </c>
      <c r="E367" s="208">
        <f>IFERROR(VLOOKUP($B367,'Institution Evaluation'!$A$55:$F$345,4,0),IFERROR(VLOOKUP($B367,'Privacy Analyst Evaluation'!$A$46:$F$120,4,0),""))&amp;""</f>
      </c>
      <c r="F367" s="208">
        <f>IFERROR(VLOOKUP($B367,'Institution Evaluation'!$A$55:$F$345,6,0),IFERROR(VLOOKUP($B367,'Privacy Analyst Evaluation'!$A$46:$F$120,6,0),""))&amp;""</f>
      </c>
      <c r="G367" s="209"/>
      <c r="H367" s="208" t="str">
        <f>IFERROR(IF($H366+1&gt;'(backend scoring)'!$Q$335,"",$H366+1),"")</f>
      </c>
      <c r="I367" s="208">
        <f>_xlfn.XLOOKUP($H367,'(backend scoring)'!$S$2:$S$333,'(backend scoring)'!$A$2:$A$333,"")</f>
      </c>
      <c r="J367" s="208">
        <f>IFERROR(VLOOKUP($I367,'Institution Evaluation'!$A$55:$F$345,2,0),IFERROR(VLOOKUP($I367,'Privacy Analyst Evaluation'!$A$46:$F$120,2,0),""))</f>
      </c>
      <c r="K367" s="208">
        <f>IFERROR(VLOOKUP($I367,'Institution Evaluation'!$A$55:$F$345,3,0),IFERROR(VLOOKUP($I367,'Privacy Analyst Evaluation'!$A$46:$F$120,3,0),""))&amp;""</f>
      </c>
      <c r="L367" s="208">
        <f>IFERROR(VLOOKUP($I367,'Institution Evaluation'!$A$55:$F$345,4,0),IFERROR(VLOOKUP($I367,'Privacy Analyst Evaluation'!$A$46:$F$120,4,0),""))&amp;""</f>
      </c>
      <c r="M367" s="208">
        <f>IFERROR(VLOOKUP($I367,'Institution Evaluation'!$A$55:$F$345,6,0),IFERROR(VLOOKUP($I367,'Privacy Analyst Evaluation'!$A$46:$F$120,6,0),""))&amp;""</f>
      </c>
    </row>
    <row r="368" spans="1:338" ht="17" x14ac:dyDescent="0.15">
      <c r="A368" s="208">
        <f>IFERROR(IF($A367+1&gt;'(backend scoring)'!$T$335,"",$A367+1),"")</f>
      </c>
      <c r="B368" s="208">
        <f>_xlfn.XLOOKUP($A368,'(backend scoring)'!$V$2:$V$333,'(backend scoring)'!$A$2:$A$333,"")</f>
      </c>
      <c r="C368" s="208">
        <f>IFERROR(VLOOKUP($B368,'Institution Evaluation'!$A$55:$F$345,2,0),IFERROR(VLOOKUP($B368,'Privacy Analyst Evaluation'!$A$46:$F$120,2,0),""))&amp;""</f>
      </c>
      <c r="D368" s="208">
        <f>IFERROR(VLOOKUP($B368,'Institution Evaluation'!$A$55:$F$345,3,0),IFERROR(VLOOKUP($B368,'Privacy Analyst Evaluation'!$A$46:$F$120,3,0),""))&amp;""</f>
      </c>
      <c r="E368" s="208">
        <f>IFERROR(VLOOKUP($B368,'Institution Evaluation'!$A$55:$F$345,4,0),IFERROR(VLOOKUP($B368,'Privacy Analyst Evaluation'!$A$46:$F$120,4,0),""))&amp;""</f>
      </c>
      <c r="F368" s="208">
        <f>IFERROR(VLOOKUP($B368,'Institution Evaluation'!$A$55:$F$345,6,0),IFERROR(VLOOKUP($B368,'Privacy Analyst Evaluation'!$A$46:$F$120,6,0),""))&amp;""</f>
      </c>
      <c r="G368" s="209"/>
      <c r="H368" s="208" t="str">
        <f>IFERROR(IF($H367+1&gt;'(backend scoring)'!$Q$335,"",$H367+1),"")</f>
      </c>
      <c r="I368" s="208">
        <f>_xlfn.XLOOKUP($H368,'(backend scoring)'!$S$2:$S$333,'(backend scoring)'!$A$2:$A$333,"")</f>
      </c>
      <c r="J368" s="208">
        <f>IFERROR(VLOOKUP($I368,'Institution Evaluation'!$A$55:$F$345,2,0),IFERROR(VLOOKUP($I368,'Privacy Analyst Evaluation'!$A$46:$F$120,2,0),""))</f>
      </c>
      <c r="K368" s="208">
        <f>IFERROR(VLOOKUP($I368,'Institution Evaluation'!$A$55:$F$345,3,0),IFERROR(VLOOKUP($I368,'Privacy Analyst Evaluation'!$A$46:$F$120,3,0),""))&amp;""</f>
      </c>
      <c r="L368" s="208">
        <f>IFERROR(VLOOKUP($I368,'Institution Evaluation'!$A$55:$F$345,4,0),IFERROR(VLOOKUP($I368,'Privacy Analyst Evaluation'!$A$46:$F$120,4,0),""))&amp;""</f>
      </c>
      <c r="M368" s="208">
        <f>IFERROR(VLOOKUP($I368,'Institution Evaluation'!$A$55:$F$345,6,0),IFERROR(VLOOKUP($I368,'Privacy Analyst Evaluation'!$A$46:$F$120,6,0),""))&amp;""</f>
      </c>
      <c r="N368" s="235" t="s">
        <v>1448</v>
      </c>
    </row>
    <row r="369" spans="1:2" x14ac:dyDescent="0.2">
      <c r="A369" s="236" t="s">
        <v>1449</v>
      </c>
      <c r="B369" s="236" t="s">
        <v>1449</v>
      </c>
    </row>
    <row r="370" spans="1:2" hidden="1" x14ac:dyDescent="0.2">
      <c r="A370"/>
      <c r="B370"/>
    </row>
    <row r="371" spans="1:2" hidden="1" x14ac:dyDescent="0.2">
      <c r="A371"/>
      <c r="B371"/>
    </row>
    <row r="372" spans="1:2" hidden="1" x14ac:dyDescent="0.2">
      <c r="A372"/>
      <c r="B372"/>
    </row>
    <row r="373" spans="1:2" hidden="1" x14ac:dyDescent="0.2">
      <c r="A373"/>
      <c r="B373"/>
    </row>
    <row r="374" spans="1:2" hidden="1" x14ac:dyDescent="0.2">
      <c r="A374"/>
      <c r="B374"/>
    </row>
    <row r="375" spans="1:2" hidden="1" x14ac:dyDescent="0.2">
      <c r="A375"/>
      <c r="B375"/>
    </row>
    <row r="376" spans="1:2" hidden="1" x14ac:dyDescent="0.2">
      <c r="A376"/>
      <c r="B376"/>
    </row>
    <row r="377" spans="1:2" hidden="1" x14ac:dyDescent="0.2">
      <c r="A377"/>
      <c r="B377"/>
    </row>
    <row r="378" spans="1:2" hidden="1" x14ac:dyDescent="0.2">
      <c r="A378"/>
      <c r="B378"/>
    </row>
    <row r="379" spans="1:2" hidden="1" x14ac:dyDescent="0.2">
      <c r="A379"/>
      <c r="B379"/>
    </row>
    <row r="380" spans="1:2" hidden="1" x14ac:dyDescent="0.2">
      <c r="A380"/>
      <c r="B380"/>
    </row>
    <row r="381" spans="1:2" hidden="1" x14ac:dyDescent="0.2">
      <c r="A381"/>
      <c r="B381"/>
    </row>
    <row r="382" spans="1:2" hidden="1" x14ac:dyDescent="0.2">
      <c r="A382"/>
      <c r="B382"/>
    </row>
    <row r="383" spans="1:2" hidden="1" x14ac:dyDescent="0.2">
      <c r="A383"/>
      <c r="B383"/>
    </row>
    <row r="384" spans="1:2" hidden="1" x14ac:dyDescent="0.2">
      <c r="A384"/>
      <c r="B384"/>
    </row>
    <row r="385" spans="1:2" hidden="1" x14ac:dyDescent="0.2">
      <c r="A385"/>
      <c r="B385"/>
    </row>
    <row r="386" spans="1:2" hidden="1" x14ac:dyDescent="0.2">
      <c r="A386"/>
      <c r="B386"/>
    </row>
    <row r="387" spans="1:2" hidden="1" x14ac:dyDescent="0.2">
      <c r="A387"/>
      <c r="B387"/>
    </row>
    <row r="388" spans="1:2" hidden="1" x14ac:dyDescent="0.2">
      <c r="A388"/>
      <c r="B388"/>
    </row>
    <row r="389" spans="1:2" hidden="1" x14ac:dyDescent="0.2">
      <c r="A389"/>
      <c r="B389"/>
    </row>
    <row r="390" spans="1:2" hidden="1" x14ac:dyDescent="0.2">
      <c r="A390"/>
      <c r="B390"/>
    </row>
    <row r="391" spans="1:2" hidden="1" x14ac:dyDescent="0.2">
      <c r="A391"/>
      <c r="B391"/>
    </row>
    <row r="392" spans="1:2" hidden="1" x14ac:dyDescent="0.2">
      <c r="A392"/>
      <c r="B392"/>
    </row>
    <row r="393" spans="1:2" hidden="1" x14ac:dyDescent="0.2">
      <c r="A393"/>
      <c r="B393"/>
    </row>
    <row r="394" spans="1:2" hidden="1" x14ac:dyDescent="0.2">
      <c r="A394"/>
      <c r="B394"/>
    </row>
    <row r="395" spans="1:2" hidden="1" x14ac:dyDescent="0.2">
      <c r="A395"/>
      <c r="B395"/>
    </row>
    <row r="396" spans="1:2" hidden="1" x14ac:dyDescent="0.2">
      <c r="A396"/>
      <c r="B396"/>
    </row>
    <row r="397" spans="1:2" hidden="1" x14ac:dyDescent="0.2">
      <c r="A397"/>
      <c r="B397"/>
    </row>
    <row r="398" spans="1:2" hidden="1" x14ac:dyDescent="0.2">
      <c r="A398"/>
      <c r="B398"/>
    </row>
    <row r="399" spans="1:2" hidden="1" x14ac:dyDescent="0.2">
      <c r="A399"/>
      <c r="B399"/>
    </row>
    <row r="400" spans="1:2" hidden="1" x14ac:dyDescent="0.2">
      <c r="A400"/>
      <c r="B400"/>
    </row>
    <row r="401" spans="1:2" hidden="1" x14ac:dyDescent="0.2">
      <c r="A401"/>
      <c r="B401"/>
    </row>
    <row r="402" spans="1:2" hidden="1" x14ac:dyDescent="0.2">
      <c r="A402"/>
      <c r="B402"/>
    </row>
    <row r="403" spans="1:2" hidden="1" x14ac:dyDescent="0.2">
      <c r="A403"/>
      <c r="B403"/>
    </row>
    <row r="404" spans="1:2" hidden="1" x14ac:dyDescent="0.2">
      <c r="A404"/>
      <c r="B404"/>
    </row>
    <row r="405" spans="1:2" hidden="1" x14ac:dyDescent="0.2">
      <c r="A405"/>
      <c r="B405"/>
    </row>
    <row r="406" spans="1:2" hidden="1" x14ac:dyDescent="0.2">
      <c r="A406"/>
      <c r="B406"/>
    </row>
    <row r="407" spans="1:2" hidden="1" x14ac:dyDescent="0.2">
      <c r="A407"/>
      <c r="B407"/>
    </row>
    <row r="408" spans="1:2" hidden="1" x14ac:dyDescent="0.2">
      <c r="A408"/>
      <c r="B408"/>
    </row>
    <row r="409" spans="1:2" hidden="1" x14ac:dyDescent="0.2">
      <c r="A409"/>
      <c r="B409"/>
    </row>
    <row r="410" spans="1:2" hidden="1" x14ac:dyDescent="0.2">
      <c r="A410"/>
      <c r="B410"/>
    </row>
    <row r="411" spans="1:2" hidden="1" x14ac:dyDescent="0.2">
      <c r="A411"/>
      <c r="B411"/>
    </row>
    <row r="412" spans="1:2" hidden="1" x14ac:dyDescent="0.2">
      <c r="A412"/>
      <c r="B412"/>
    </row>
    <row r="413" spans="1:2" hidden="1" x14ac:dyDescent="0.2">
      <c r="A413"/>
      <c r="B413"/>
    </row>
    <row r="414" spans="1:2" hidden="1" x14ac:dyDescent="0.2">
      <c r="A414"/>
      <c r="B414"/>
    </row>
    <row r="415" spans="1:2" hidden="1" x14ac:dyDescent="0.2">
      <c r="A415"/>
      <c r="B415"/>
    </row>
    <row r="416" spans="1:2" hidden="1" x14ac:dyDescent="0.2">
      <c r="A416"/>
      <c r="B416"/>
    </row>
    <row r="417" spans="1:2" hidden="1" x14ac:dyDescent="0.2">
      <c r="A417"/>
      <c r="B417"/>
    </row>
    <row r="418" spans="1:2" hidden="1" x14ac:dyDescent="0.2">
      <c r="A418"/>
      <c r="B418"/>
    </row>
    <row r="419" spans="1:2" hidden="1" x14ac:dyDescent="0.2">
      <c r="A419"/>
      <c r="B419"/>
    </row>
    <row r="420" spans="1:2" hidden="1" x14ac:dyDescent="0.2">
      <c r="A420"/>
      <c r="B420"/>
    </row>
    <row r="421" spans="1:2" hidden="1" x14ac:dyDescent="0.2">
      <c r="A421"/>
      <c r="B421"/>
    </row>
    <row r="422" spans="1:2" hidden="1" x14ac:dyDescent="0.2">
      <c r="A422"/>
      <c r="B422"/>
    </row>
    <row r="423" spans="1:2" hidden="1" x14ac:dyDescent="0.2">
      <c r="A423"/>
      <c r="B423"/>
    </row>
    <row r="424" spans="1:2" hidden="1" x14ac:dyDescent="0.2">
      <c r="A424"/>
      <c r="B424"/>
    </row>
    <row r="425" spans="1:2" hidden="1" x14ac:dyDescent="0.2">
      <c r="A425"/>
      <c r="B425"/>
    </row>
    <row r="426" spans="1:2" hidden="1" x14ac:dyDescent="0.2">
      <c r="A426"/>
      <c r="B426"/>
    </row>
    <row r="427" spans="1:2" hidden="1" x14ac:dyDescent="0.2">
      <c r="A427"/>
      <c r="B427"/>
    </row>
    <row r="428" spans="1:2" hidden="1" x14ac:dyDescent="0.2">
      <c r="A428"/>
      <c r="B428"/>
    </row>
    <row r="429" spans="1:2" hidden="1" x14ac:dyDescent="0.2">
      <c r="A429"/>
      <c r="B429"/>
    </row>
    <row r="430" spans="1:2" hidden="1" x14ac:dyDescent="0.2">
      <c r="A430"/>
      <c r="B430"/>
    </row>
    <row r="431" spans="1:2" hidden="1" x14ac:dyDescent="0.2">
      <c r="A431"/>
      <c r="B431"/>
    </row>
    <row r="432" spans="1:2" hidden="1" x14ac:dyDescent="0.2">
      <c r="A432"/>
      <c r="B432"/>
    </row>
    <row r="433" spans="1:2" hidden="1" x14ac:dyDescent="0.2">
      <c r="A433"/>
      <c r="B433"/>
    </row>
    <row r="434" spans="1:2" hidden="1" x14ac:dyDescent="0.2">
      <c r="A434"/>
      <c r="B434"/>
    </row>
    <row r="435" spans="1:2" hidden="1" x14ac:dyDescent="0.2">
      <c r="A435"/>
      <c r="B435"/>
    </row>
    <row r="436" spans="1:2" hidden="1" x14ac:dyDescent="0.2">
      <c r="A436"/>
      <c r="B436"/>
    </row>
    <row r="437" spans="1:2" hidden="1" x14ac:dyDescent="0.2">
      <c r="A437"/>
      <c r="B437"/>
    </row>
    <row r="438" spans="1:2" hidden="1" x14ac:dyDescent="0.2">
      <c r="A438"/>
      <c r="B438"/>
    </row>
    <row r="439" spans="1:2" hidden="1" x14ac:dyDescent="0.2">
      <c r="A439"/>
      <c r="B439"/>
    </row>
    <row r="440" spans="1:2" hidden="1" x14ac:dyDescent="0.2">
      <c r="A440"/>
      <c r="B440"/>
    </row>
    <row r="441" spans="1:2" hidden="1" x14ac:dyDescent="0.2">
      <c r="A441"/>
      <c r="B441"/>
    </row>
    <row r="442" spans="1:2" hidden="1" x14ac:dyDescent="0.2">
      <c r="A442"/>
      <c r="B442"/>
    </row>
    <row r="443" spans="1:2" hidden="1" x14ac:dyDescent="0.2">
      <c r="A443"/>
      <c r="B443"/>
    </row>
    <row r="444" spans="1:2" hidden="1" x14ac:dyDescent="0.2">
      <c r="A444"/>
      <c r="B444"/>
    </row>
    <row r="445" spans="1:2" hidden="1" x14ac:dyDescent="0.2">
      <c r="A445"/>
      <c r="B445"/>
    </row>
    <row r="446" spans="1:2" hidden="1" x14ac:dyDescent="0.2">
      <c r="A446"/>
      <c r="B446"/>
    </row>
    <row r="447" spans="1:2" hidden="1" x14ac:dyDescent="0.2">
      <c r="A447"/>
      <c r="B447"/>
    </row>
    <row r="448" spans="1:2" hidden="1" x14ac:dyDescent="0.2">
      <c r="A448"/>
      <c r="B448"/>
    </row>
    <row r="449" spans="1:2" hidden="1" x14ac:dyDescent="0.2">
      <c r="A449"/>
      <c r="B449"/>
    </row>
    <row r="450" spans="1:2" hidden="1" x14ac:dyDescent="0.2">
      <c r="A450"/>
      <c r="B450"/>
    </row>
    <row r="451" spans="1:2" hidden="1" x14ac:dyDescent="0.2">
      <c r="A451"/>
      <c r="B451"/>
    </row>
    <row r="452" spans="1:2" hidden="1" x14ac:dyDescent="0.2">
      <c r="A452"/>
      <c r="B452"/>
    </row>
    <row r="453" spans="1:2" hidden="1" x14ac:dyDescent="0.2">
      <c r="A453"/>
      <c r="B453"/>
    </row>
    <row r="454" spans="1:2" hidden="1" x14ac:dyDescent="0.2">
      <c r="A454"/>
      <c r="B454"/>
    </row>
    <row r="455" spans="1:2" hidden="1" x14ac:dyDescent="0.2">
      <c r="A455"/>
      <c r="B455"/>
    </row>
    <row r="456" spans="1:2" hidden="1" x14ac:dyDescent="0.2">
      <c r="A456"/>
      <c r="B456"/>
    </row>
    <row r="457" spans="1:2" hidden="1" x14ac:dyDescent="0.2">
      <c r="A457"/>
      <c r="B457"/>
    </row>
    <row r="458" spans="1:2" hidden="1" x14ac:dyDescent="0.2">
      <c r="A458"/>
      <c r="B458"/>
    </row>
    <row r="459" spans="1:2" hidden="1" x14ac:dyDescent="0.2">
      <c r="A459"/>
      <c r="B459"/>
    </row>
    <row r="460" spans="1:2" hidden="1" x14ac:dyDescent="0.2">
      <c r="A460"/>
      <c r="B460"/>
    </row>
    <row r="461" spans="1:2" hidden="1" x14ac:dyDescent="0.2">
      <c r="A461"/>
      <c r="B461"/>
    </row>
    <row r="462" spans="1:2" hidden="1" x14ac:dyDescent="0.2">
      <c r="A462"/>
      <c r="B462"/>
    </row>
    <row r="463" spans="1:2" hidden="1" x14ac:dyDescent="0.2">
      <c r="A463"/>
      <c r="B463"/>
    </row>
    <row r="464" spans="1:2" hidden="1" x14ac:dyDescent="0.2">
      <c r="A464"/>
      <c r="B464"/>
    </row>
    <row r="465" spans="1:2" hidden="1" x14ac:dyDescent="0.2">
      <c r="A465"/>
      <c r="B465"/>
    </row>
    <row r="466" spans="1:2" hidden="1" x14ac:dyDescent="0.2">
      <c r="A466"/>
      <c r="B466"/>
    </row>
    <row r="467" spans="1:2" hidden="1" x14ac:dyDescent="0.2">
      <c r="A467"/>
      <c r="B467"/>
    </row>
    <row r="468" spans="1:2" hidden="1" x14ac:dyDescent="0.2">
      <c r="A468"/>
      <c r="B468"/>
    </row>
    <row r="469" spans="1:2" hidden="1" x14ac:dyDescent="0.2">
      <c r="A469"/>
      <c r="B469"/>
    </row>
    <row r="470" spans="1:2" hidden="1" x14ac:dyDescent="0.2">
      <c r="A470"/>
      <c r="B470"/>
    </row>
    <row r="471" spans="1:2" hidden="1" x14ac:dyDescent="0.2">
      <c r="A471"/>
      <c r="B471"/>
    </row>
    <row r="472" spans="1:2" hidden="1" x14ac:dyDescent="0.2">
      <c r="A472"/>
      <c r="B472"/>
    </row>
    <row r="473" spans="1:2" hidden="1" x14ac:dyDescent="0.2">
      <c r="A473"/>
      <c r="B473"/>
    </row>
    <row r="474" spans="1:2" hidden="1" x14ac:dyDescent="0.2">
      <c r="A474"/>
      <c r="B474"/>
    </row>
    <row r="475" spans="1:2" hidden="1" x14ac:dyDescent="0.2">
      <c r="A475"/>
      <c r="B475"/>
    </row>
    <row r="476" spans="1:2" hidden="1" x14ac:dyDescent="0.2">
      <c r="A476"/>
      <c r="B476"/>
    </row>
    <row r="477" spans="1:2" hidden="1" x14ac:dyDescent="0.2">
      <c r="A477"/>
      <c r="B477"/>
    </row>
    <row r="478" spans="1:2" hidden="1" x14ac:dyDescent="0.2">
      <c r="A478"/>
      <c r="B478"/>
    </row>
    <row r="479" spans="1:2" hidden="1" x14ac:dyDescent="0.2">
      <c r="A479"/>
      <c r="B479"/>
    </row>
    <row r="480" spans="1:2" hidden="1" x14ac:dyDescent="0.2">
      <c r="A480"/>
      <c r="B480"/>
    </row>
    <row r="481" spans="1:2" hidden="1" x14ac:dyDescent="0.2">
      <c r="A481"/>
      <c r="B481"/>
    </row>
    <row r="482" spans="1:2" hidden="1" x14ac:dyDescent="0.2">
      <c r="A482"/>
      <c r="B482"/>
    </row>
    <row r="483" spans="1:2" hidden="1" x14ac:dyDescent="0.2">
      <c r="A483"/>
      <c r="B483"/>
    </row>
    <row r="484" spans="1:2" hidden="1" x14ac:dyDescent="0.2">
      <c r="A484"/>
      <c r="B484"/>
    </row>
    <row r="485" spans="1:2" hidden="1" x14ac:dyDescent="0.2">
      <c r="A485"/>
      <c r="B485"/>
    </row>
    <row r="486" spans="1:2" hidden="1" x14ac:dyDescent="0.2">
      <c r="A486"/>
      <c r="B486"/>
    </row>
    <row r="487" spans="1:2" hidden="1" x14ac:dyDescent="0.2">
      <c r="A487"/>
      <c r="B487"/>
    </row>
    <row r="488" spans="1:2" hidden="1" x14ac:dyDescent="0.2">
      <c r="A488"/>
      <c r="B488"/>
    </row>
    <row r="489" spans="1:2" hidden="1" x14ac:dyDescent="0.2">
      <c r="A489"/>
      <c r="B489"/>
    </row>
    <row r="490" spans="1:2" hidden="1" x14ac:dyDescent="0.2">
      <c r="A490"/>
      <c r="B490"/>
    </row>
    <row r="491" spans="1:2" hidden="1" x14ac:dyDescent="0.2">
      <c r="A491"/>
      <c r="B491"/>
    </row>
    <row r="492" spans="1:2" hidden="1" x14ac:dyDescent="0.2">
      <c r="A492"/>
      <c r="B492"/>
    </row>
    <row r="493" spans="1:2" hidden="1" x14ac:dyDescent="0.2">
      <c r="A493"/>
      <c r="B493"/>
    </row>
    <row r="494" spans="1:2" hidden="1" x14ac:dyDescent="0.2">
      <c r="A494"/>
      <c r="B494"/>
    </row>
    <row r="495" spans="1:2" hidden="1" x14ac:dyDescent="0.2">
      <c r="A495"/>
      <c r="B495"/>
    </row>
    <row r="496" spans="1:2" hidden="1" x14ac:dyDescent="0.2">
      <c r="A496"/>
      <c r="B496"/>
    </row>
    <row r="497" spans="1:2" hidden="1" x14ac:dyDescent="0.2">
      <c r="A497"/>
      <c r="B497"/>
    </row>
    <row r="498" spans="1:2" hidden="1" x14ac:dyDescent="0.2">
      <c r="A498"/>
      <c r="B498"/>
    </row>
    <row r="499" spans="1:2" hidden="1" x14ac:dyDescent="0.2">
      <c r="A499"/>
      <c r="B499"/>
    </row>
    <row r="500" spans="1:2" hidden="1" x14ac:dyDescent="0.2">
      <c r="A500"/>
      <c r="B500"/>
    </row>
    <row r="501" spans="1:2" hidden="1" x14ac:dyDescent="0.2">
      <c r="A501"/>
      <c r="B501"/>
    </row>
    <row r="502" spans="1:2" hidden="1" x14ac:dyDescent="0.2">
      <c r="A502"/>
      <c r="B502"/>
    </row>
    <row r="503" spans="1:2" hidden="1" x14ac:dyDescent="0.2">
      <c r="A503"/>
      <c r="B503"/>
    </row>
    <row r="504" spans="1:2" hidden="1" x14ac:dyDescent="0.2">
      <c r="A504"/>
      <c r="B504"/>
    </row>
    <row r="505" spans="1:2" hidden="1" x14ac:dyDescent="0.2">
      <c r="A505"/>
      <c r="B505"/>
    </row>
    <row r="506" spans="1:2" hidden="1" x14ac:dyDescent="0.2">
      <c r="A506"/>
      <c r="B506"/>
    </row>
    <row r="507" spans="1:2" hidden="1" x14ac:dyDescent="0.2">
      <c r="A507"/>
      <c r="B507"/>
    </row>
    <row r="508" spans="1:2" hidden="1" x14ac:dyDescent="0.2">
      <c r="A508"/>
      <c r="B508"/>
    </row>
    <row r="509" spans="1:2" hidden="1" x14ac:dyDescent="0.2">
      <c r="A509"/>
      <c r="B509"/>
    </row>
    <row r="510" spans="1:2" hidden="1" x14ac:dyDescent="0.2">
      <c r="A510"/>
      <c r="B510"/>
    </row>
    <row r="511" spans="1:2" hidden="1" x14ac:dyDescent="0.2">
      <c r="A511"/>
      <c r="B511"/>
    </row>
    <row r="512" spans="1:2" hidden="1" x14ac:dyDescent="0.2">
      <c r="A512"/>
      <c r="B512"/>
    </row>
    <row r="513" spans="1:2" hidden="1" x14ac:dyDescent="0.2">
      <c r="A513"/>
      <c r="B513"/>
    </row>
    <row r="514" spans="1:2" hidden="1" x14ac:dyDescent="0.2">
      <c r="A514"/>
      <c r="B514"/>
    </row>
    <row r="515" spans="1:2" hidden="1" x14ac:dyDescent="0.2">
      <c r="A515"/>
      <c r="B515"/>
    </row>
    <row r="516" spans="1:2" hidden="1" x14ac:dyDescent="0.2">
      <c r="A516"/>
      <c r="B516"/>
    </row>
    <row r="517" spans="1:2" hidden="1" x14ac:dyDescent="0.2">
      <c r="A517"/>
      <c r="B517"/>
    </row>
    <row r="518" spans="1:2" hidden="1" x14ac:dyDescent="0.2">
      <c r="A518"/>
      <c r="B518"/>
    </row>
    <row r="519" spans="1:2" hidden="1" x14ac:dyDescent="0.2">
      <c r="A519"/>
      <c r="B519"/>
    </row>
    <row r="520" spans="1:2" hidden="1" x14ac:dyDescent="0.2">
      <c r="A520"/>
      <c r="B520"/>
    </row>
    <row r="521" spans="1:2" hidden="1" x14ac:dyDescent="0.2">
      <c r="A521"/>
      <c r="B521"/>
    </row>
    <row r="522" spans="1:2" hidden="1" x14ac:dyDescent="0.2">
      <c r="A522"/>
      <c r="B522"/>
    </row>
    <row r="523" spans="1:2" hidden="1" x14ac:dyDescent="0.2">
      <c r="A523"/>
      <c r="B523"/>
    </row>
    <row r="524" spans="1:2" hidden="1" x14ac:dyDescent="0.2">
      <c r="A524"/>
      <c r="B524"/>
    </row>
    <row r="525" spans="1:2" hidden="1" x14ac:dyDescent="0.2">
      <c r="A525"/>
      <c r="B525"/>
    </row>
    <row r="526" spans="1:2" hidden="1" x14ac:dyDescent="0.2">
      <c r="A526"/>
      <c r="B526"/>
    </row>
    <row r="527" spans="1:2" hidden="1" x14ac:dyDescent="0.2">
      <c r="A527"/>
      <c r="B527"/>
    </row>
    <row r="528" spans="1:2" hidden="1" x14ac:dyDescent="0.2">
      <c r="A528"/>
      <c r="B528"/>
    </row>
    <row r="529" spans="1:2" hidden="1" x14ac:dyDescent="0.2">
      <c r="A529"/>
      <c r="B529"/>
    </row>
    <row r="530" spans="1:2" hidden="1" x14ac:dyDescent="0.2">
      <c r="A530"/>
      <c r="B530"/>
    </row>
    <row r="531" spans="1:2" hidden="1" x14ac:dyDescent="0.2">
      <c r="A531"/>
      <c r="B531"/>
    </row>
    <row r="532" spans="1:2" hidden="1" x14ac:dyDescent="0.2">
      <c r="A532"/>
      <c r="B532"/>
    </row>
    <row r="533" spans="1:2" hidden="1" x14ac:dyDescent="0.2">
      <c r="A533"/>
      <c r="B533"/>
    </row>
    <row r="534" spans="1:2" hidden="1" x14ac:dyDescent="0.2">
      <c r="A534"/>
      <c r="B534"/>
    </row>
    <row r="535" spans="1:2" hidden="1" x14ac:dyDescent="0.2">
      <c r="A535"/>
      <c r="B535"/>
    </row>
    <row r="536" spans="1:2" hidden="1" x14ac:dyDescent="0.2">
      <c r="A536"/>
      <c r="B536"/>
    </row>
    <row r="537" spans="1:2" hidden="1" x14ac:dyDescent="0.2">
      <c r="A537"/>
      <c r="B537"/>
    </row>
    <row r="538" spans="1:2" hidden="1" x14ac:dyDescent="0.2">
      <c r="A538"/>
      <c r="B538"/>
    </row>
    <row r="539" spans="1:2" hidden="1" x14ac:dyDescent="0.2">
      <c r="A539"/>
      <c r="B539"/>
    </row>
    <row r="540" spans="1:2" hidden="1" x14ac:dyDescent="0.2">
      <c r="A540"/>
      <c r="B540"/>
    </row>
    <row r="541" spans="1:2" hidden="1" x14ac:dyDescent="0.2">
      <c r="A541"/>
      <c r="B541"/>
    </row>
    <row r="542" spans="1:2" hidden="1" x14ac:dyDescent="0.2">
      <c r="A542"/>
      <c r="B542"/>
    </row>
    <row r="543" spans="1:2" hidden="1" x14ac:dyDescent="0.2">
      <c r="A543"/>
      <c r="B543"/>
    </row>
    <row r="544" spans="1:2" hidden="1" x14ac:dyDescent="0.2">
      <c r="A544"/>
      <c r="B544"/>
    </row>
    <row r="545" spans="1:2" hidden="1" x14ac:dyDescent="0.2">
      <c r="A545"/>
      <c r="B545"/>
    </row>
    <row r="546" spans="1:2" hidden="1" x14ac:dyDescent="0.2">
      <c r="A546"/>
      <c r="B546"/>
    </row>
    <row r="547" spans="1:2" hidden="1" x14ac:dyDescent="0.2">
      <c r="A547"/>
      <c r="B547"/>
    </row>
    <row r="548" spans="1:2" hidden="1" x14ac:dyDescent="0.2">
      <c r="A548"/>
      <c r="B548"/>
    </row>
    <row r="549" spans="1:2" hidden="1" x14ac:dyDescent="0.2">
      <c r="A549"/>
      <c r="B549"/>
    </row>
    <row r="550" spans="1:2" hidden="1" x14ac:dyDescent="0.2">
      <c r="A550"/>
      <c r="B550"/>
    </row>
    <row r="551" spans="1:2" hidden="1" x14ac:dyDescent="0.2">
      <c r="A551"/>
      <c r="B551"/>
    </row>
    <row r="552" spans="1:2" hidden="1" x14ac:dyDescent="0.2">
      <c r="A552"/>
      <c r="B552"/>
    </row>
    <row r="553" spans="1:2" hidden="1" x14ac:dyDescent="0.2">
      <c r="A553"/>
      <c r="B553"/>
    </row>
    <row r="554" spans="1:2" hidden="1" x14ac:dyDescent="0.2">
      <c r="A554"/>
      <c r="B554"/>
    </row>
    <row r="555" spans="1:2" hidden="1" x14ac:dyDescent="0.2">
      <c r="A555"/>
      <c r="B555"/>
    </row>
    <row r="556" spans="1:2" hidden="1" x14ac:dyDescent="0.2">
      <c r="A556"/>
      <c r="B556"/>
    </row>
    <row r="557" spans="1:2" hidden="1" x14ac:dyDescent="0.2">
      <c r="A557"/>
      <c r="B557"/>
    </row>
    <row r="558" spans="1:2" hidden="1" x14ac:dyDescent="0.2">
      <c r="A558"/>
      <c r="B558"/>
    </row>
    <row r="559" spans="1:2" hidden="1" x14ac:dyDescent="0.2">
      <c r="A559"/>
      <c r="B559"/>
    </row>
    <row r="560" spans="1:2" hidden="1" x14ac:dyDescent="0.2">
      <c r="A560"/>
      <c r="B560"/>
    </row>
    <row r="561" spans="1:2" hidden="1" x14ac:dyDescent="0.2">
      <c r="A561"/>
      <c r="B561"/>
    </row>
    <row r="562" spans="1:2" hidden="1" x14ac:dyDescent="0.2">
      <c r="A562"/>
      <c r="B562"/>
    </row>
    <row r="563" spans="1:2" hidden="1" x14ac:dyDescent="0.2">
      <c r="A563"/>
      <c r="B563"/>
    </row>
    <row r="564" spans="1:2" hidden="1" x14ac:dyDescent="0.2">
      <c r="A564"/>
      <c r="B564"/>
    </row>
    <row r="565" spans="1:2" hidden="1" x14ac:dyDescent="0.2">
      <c r="A565"/>
      <c r="B565"/>
    </row>
    <row r="566" spans="1:2" hidden="1" x14ac:dyDescent="0.2">
      <c r="A566"/>
      <c r="B566"/>
    </row>
    <row r="567" spans="1:2" hidden="1" x14ac:dyDescent="0.2">
      <c r="A567"/>
      <c r="B567"/>
    </row>
    <row r="568" spans="1:2" hidden="1" x14ac:dyDescent="0.2">
      <c r="A568"/>
      <c r="B568"/>
    </row>
    <row r="569" spans="1:2" hidden="1" x14ac:dyDescent="0.2">
      <c r="A569"/>
      <c r="B569"/>
    </row>
    <row r="570" spans="1:2" hidden="1" x14ac:dyDescent="0.2">
      <c r="A570"/>
      <c r="B570"/>
    </row>
    <row r="571" spans="1:2" hidden="1" x14ac:dyDescent="0.2">
      <c r="A571"/>
      <c r="B571"/>
    </row>
    <row r="572" spans="1:2" hidden="1" x14ac:dyDescent="0.2">
      <c r="A572"/>
      <c r="B572"/>
    </row>
    <row r="573" spans="1:2" hidden="1" x14ac:dyDescent="0.2">
      <c r="A573"/>
      <c r="B573"/>
    </row>
    <row r="574" spans="1:2" hidden="1" x14ac:dyDescent="0.2">
      <c r="A574"/>
      <c r="B574"/>
    </row>
    <row r="575" spans="1:2" hidden="1" x14ac:dyDescent="0.2">
      <c r="A575"/>
      <c r="B575"/>
    </row>
    <row r="576" spans="1:2" hidden="1" x14ac:dyDescent="0.2">
      <c r="A576"/>
      <c r="B576"/>
    </row>
    <row r="577" spans="1:2" hidden="1" x14ac:dyDescent="0.2">
      <c r="A577"/>
      <c r="B577"/>
    </row>
    <row r="578" spans="1:2" hidden="1" x14ac:dyDescent="0.2">
      <c r="A578"/>
      <c r="B578"/>
    </row>
    <row r="579" spans="1:2" hidden="1" x14ac:dyDescent="0.2">
      <c r="A579"/>
      <c r="B579"/>
    </row>
    <row r="580" spans="1:2" hidden="1" x14ac:dyDescent="0.2">
      <c r="A580"/>
      <c r="B580"/>
    </row>
    <row r="581" spans="1:2" hidden="1" x14ac:dyDescent="0.2">
      <c r="A581"/>
      <c r="B581"/>
    </row>
    <row r="582" spans="1:2" hidden="1" x14ac:dyDescent="0.2">
      <c r="A582"/>
      <c r="B582"/>
    </row>
    <row r="583" spans="1:2" hidden="1" x14ac:dyDescent="0.2">
      <c r="A583"/>
      <c r="B583"/>
    </row>
    <row r="584" spans="1:2" hidden="1" x14ac:dyDescent="0.2">
      <c r="A584"/>
      <c r="B584"/>
    </row>
    <row r="585" spans="1:2" hidden="1" x14ac:dyDescent="0.2">
      <c r="A585"/>
      <c r="B585"/>
    </row>
    <row r="586" spans="1:2" hidden="1" x14ac:dyDescent="0.2">
      <c r="A586"/>
      <c r="B586"/>
    </row>
    <row r="587" spans="1:2" hidden="1" x14ac:dyDescent="0.2">
      <c r="A587"/>
      <c r="B587"/>
    </row>
    <row r="588" spans="1:2" hidden="1" x14ac:dyDescent="0.2">
      <c r="A588"/>
      <c r="B588"/>
    </row>
    <row r="589" spans="1:2" hidden="1" x14ac:dyDescent="0.2">
      <c r="A589"/>
      <c r="B589"/>
    </row>
    <row r="590" spans="1:2" hidden="1" x14ac:dyDescent="0.2">
      <c r="A590"/>
      <c r="B590"/>
    </row>
    <row r="591" spans="1:2" hidden="1" x14ac:dyDescent="0.2">
      <c r="A591"/>
      <c r="B591"/>
    </row>
    <row r="592" spans="1:2" hidden="1" x14ac:dyDescent="0.2">
      <c r="A592"/>
      <c r="B592"/>
    </row>
    <row r="593" spans="1:2" hidden="1" x14ac:dyDescent="0.2">
      <c r="A593"/>
      <c r="B593"/>
    </row>
    <row r="594" spans="1:2" hidden="1" x14ac:dyDescent="0.2">
      <c r="A594"/>
      <c r="B594"/>
    </row>
    <row r="595" spans="1:2" hidden="1" x14ac:dyDescent="0.2">
      <c r="A595"/>
      <c r="B595"/>
    </row>
    <row r="596" spans="1:2" hidden="1" x14ac:dyDescent="0.2">
      <c r="A596"/>
      <c r="B596"/>
    </row>
    <row r="597" spans="1:2" hidden="1" x14ac:dyDescent="0.2">
      <c r="A597"/>
      <c r="B597"/>
    </row>
    <row r="598" spans="1:2" hidden="1" x14ac:dyDescent="0.2">
      <c r="A598"/>
      <c r="B598"/>
    </row>
    <row r="599" spans="1:2" hidden="1" x14ac:dyDescent="0.2">
      <c r="A599"/>
      <c r="B599"/>
    </row>
    <row r="600" spans="1:2" hidden="1" x14ac:dyDescent="0.2">
      <c r="A600"/>
      <c r="B600"/>
    </row>
    <row r="601" spans="1:2" hidden="1" x14ac:dyDescent="0.2">
      <c r="A601"/>
      <c r="B601"/>
    </row>
    <row r="602" spans="1:2" hidden="1" x14ac:dyDescent="0.2">
      <c r="A602"/>
      <c r="B602"/>
    </row>
    <row r="603" spans="1:2" hidden="1" x14ac:dyDescent="0.2">
      <c r="A603"/>
      <c r="B603"/>
    </row>
    <row r="604" spans="1:2" hidden="1" x14ac:dyDescent="0.2">
      <c r="A604"/>
      <c r="B604"/>
    </row>
    <row r="605" spans="1:2" hidden="1" x14ac:dyDescent="0.2">
      <c r="A605"/>
      <c r="B605"/>
    </row>
    <row r="606" spans="1:2" hidden="1" x14ac:dyDescent="0.2">
      <c r="A606"/>
      <c r="B606"/>
    </row>
    <row r="607" spans="1:2" hidden="1" x14ac:dyDescent="0.2">
      <c r="A607"/>
      <c r="B607"/>
    </row>
    <row r="608" spans="1:2" hidden="1" x14ac:dyDescent="0.2">
      <c r="A608"/>
      <c r="B608"/>
    </row>
    <row r="609" spans="1:2" hidden="1" x14ac:dyDescent="0.2">
      <c r="A609"/>
      <c r="B609"/>
    </row>
    <row r="610" spans="1:2" hidden="1" x14ac:dyDescent="0.2">
      <c r="A610"/>
      <c r="B610"/>
    </row>
    <row r="611" spans="1:2" hidden="1" x14ac:dyDescent="0.2">
      <c r="A611"/>
      <c r="B611"/>
    </row>
    <row r="612" spans="1:2" hidden="1" x14ac:dyDescent="0.2">
      <c r="A612"/>
      <c r="B612"/>
    </row>
    <row r="613" spans="1:2" hidden="1" x14ac:dyDescent="0.2">
      <c r="A613"/>
      <c r="B613"/>
    </row>
    <row r="614" spans="1:2" hidden="1" x14ac:dyDescent="0.2">
      <c r="A614"/>
      <c r="B614"/>
    </row>
    <row r="615" spans="1:2" hidden="1" x14ac:dyDescent="0.2">
      <c r="A615"/>
      <c r="B615"/>
    </row>
    <row r="616" spans="1:2" hidden="1" x14ac:dyDescent="0.2">
      <c r="A616"/>
      <c r="B616"/>
    </row>
    <row r="617" spans="1:2" hidden="1" x14ac:dyDescent="0.2">
      <c r="A617"/>
      <c r="B617"/>
    </row>
    <row r="618" spans="1:2" hidden="1" x14ac:dyDescent="0.2">
      <c r="A618"/>
      <c r="B618"/>
    </row>
    <row r="619" spans="1:2" hidden="1" x14ac:dyDescent="0.2">
      <c r="A619"/>
      <c r="B619"/>
    </row>
    <row r="620" spans="1:2" hidden="1" x14ac:dyDescent="0.2">
      <c r="A620"/>
      <c r="B620"/>
    </row>
    <row r="621" spans="1:2" hidden="1" x14ac:dyDescent="0.2">
      <c r="A621"/>
      <c r="B621"/>
    </row>
    <row r="622" spans="1:2" hidden="1" x14ac:dyDescent="0.2">
      <c r="A622"/>
      <c r="B622"/>
    </row>
    <row r="623" spans="1:2" hidden="1" x14ac:dyDescent="0.2">
      <c r="A623"/>
      <c r="B623"/>
    </row>
    <row r="624" spans="1:2" hidden="1" x14ac:dyDescent="0.2">
      <c r="A624"/>
      <c r="B624"/>
    </row>
    <row r="625" spans="1:2" hidden="1" x14ac:dyDescent="0.2">
      <c r="A625"/>
      <c r="B625"/>
    </row>
    <row r="626" spans="1:2" hidden="1" x14ac:dyDescent="0.2">
      <c r="A626"/>
      <c r="B626"/>
    </row>
    <row r="627" spans="1:2" hidden="1" x14ac:dyDescent="0.2">
      <c r="A627"/>
      <c r="B627"/>
    </row>
    <row r="628" spans="1:2" hidden="1" x14ac:dyDescent="0.2">
      <c r="A628"/>
      <c r="B628"/>
    </row>
    <row r="629" spans="1:2" hidden="1" x14ac:dyDescent="0.2">
      <c r="A629"/>
      <c r="B629"/>
    </row>
    <row r="630" spans="1:2" hidden="1" x14ac:dyDescent="0.2">
      <c r="A630"/>
      <c r="B630"/>
    </row>
    <row r="631" spans="1:2" hidden="1" x14ac:dyDescent="0.2">
      <c r="A631"/>
      <c r="B631"/>
    </row>
    <row r="632" spans="1:2" hidden="1" x14ac:dyDescent="0.2">
      <c r="A632"/>
      <c r="B632"/>
    </row>
    <row r="633" spans="1:2" hidden="1" x14ac:dyDescent="0.2">
      <c r="A633"/>
      <c r="B633"/>
    </row>
    <row r="634" spans="1:2" hidden="1" x14ac:dyDescent="0.2">
      <c r="A634"/>
      <c r="B634"/>
    </row>
    <row r="635" spans="1:2" hidden="1" x14ac:dyDescent="0.2">
      <c r="A635"/>
      <c r="B635"/>
    </row>
    <row r="636" spans="1:2" hidden="1" x14ac:dyDescent="0.2">
      <c r="A636"/>
      <c r="B636"/>
    </row>
    <row r="637" spans="1:2" hidden="1" x14ac:dyDescent="0.2">
      <c r="A637"/>
      <c r="B637"/>
    </row>
    <row r="638" spans="1:2" hidden="1" x14ac:dyDescent="0.2">
      <c r="A638"/>
      <c r="B638"/>
    </row>
    <row r="639" spans="1:2" hidden="1" x14ac:dyDescent="0.2">
      <c r="A639"/>
      <c r="B639"/>
    </row>
    <row r="640" spans="1:2" hidden="1" x14ac:dyDescent="0.2">
      <c r="A640"/>
      <c r="B640"/>
    </row>
    <row r="641" spans="1:2" hidden="1" x14ac:dyDescent="0.2">
      <c r="A641"/>
      <c r="B641"/>
    </row>
    <row r="642" spans="1:2" hidden="1" x14ac:dyDescent="0.2">
      <c r="A642"/>
      <c r="B642"/>
    </row>
    <row r="643" spans="1:2" hidden="1" x14ac:dyDescent="0.2">
      <c r="A643"/>
      <c r="B643"/>
    </row>
    <row r="644" spans="1:2" hidden="1" x14ac:dyDescent="0.2">
      <c r="A644"/>
      <c r="B644"/>
    </row>
    <row r="645" spans="1:2" hidden="1" x14ac:dyDescent="0.2">
      <c r="A645"/>
      <c r="B645"/>
    </row>
    <row r="646" spans="1:2" hidden="1" x14ac:dyDescent="0.2">
      <c r="A646"/>
      <c r="B646"/>
    </row>
    <row r="647" spans="1:2" hidden="1" x14ac:dyDescent="0.2">
      <c r="A647"/>
      <c r="B647"/>
    </row>
    <row r="648" spans="1:2" hidden="1" x14ac:dyDescent="0.2">
      <c r="A648"/>
      <c r="B648"/>
    </row>
    <row r="649" spans="1:2" hidden="1" x14ac:dyDescent="0.2">
      <c r="A649"/>
      <c r="B649"/>
    </row>
    <row r="650" spans="1:2" hidden="1" x14ac:dyDescent="0.2">
      <c r="A650"/>
      <c r="B650"/>
    </row>
    <row r="651" spans="1:2" hidden="1" x14ac:dyDescent="0.2">
      <c r="A651"/>
      <c r="B651"/>
    </row>
    <row r="652" spans="1:2" hidden="1" x14ac:dyDescent="0.2">
      <c r="A652"/>
      <c r="B652"/>
    </row>
    <row r="653" spans="1:2" hidden="1" x14ac:dyDescent="0.2">
      <c r="A653"/>
      <c r="B653"/>
    </row>
    <row r="654" spans="1:2" hidden="1" x14ac:dyDescent="0.2">
      <c r="A654"/>
      <c r="B654"/>
    </row>
    <row r="655" spans="1:2" hidden="1" x14ac:dyDescent="0.2">
      <c r="A655"/>
      <c r="B655"/>
    </row>
    <row r="656" spans="1:2" hidden="1" x14ac:dyDescent="0.2">
      <c r="A656"/>
      <c r="B656"/>
    </row>
    <row r="657" spans="1:2" hidden="1" x14ac:dyDescent="0.2">
      <c r="A657"/>
      <c r="B657"/>
    </row>
    <row r="658" spans="1:2" hidden="1" x14ac:dyDescent="0.2">
      <c r="A658"/>
      <c r="B658"/>
    </row>
    <row r="659" spans="1:2" hidden="1" x14ac:dyDescent="0.2">
      <c r="A659"/>
      <c r="B659"/>
    </row>
    <row r="660" spans="1:2" hidden="1" x14ac:dyDescent="0.2">
      <c r="A660"/>
      <c r="B660"/>
    </row>
    <row r="661" spans="1:2" hidden="1" x14ac:dyDescent="0.2">
      <c r="A661"/>
      <c r="B661"/>
    </row>
    <row r="662" spans="1:2" hidden="1" x14ac:dyDescent="0.2">
      <c r="A662"/>
      <c r="B662"/>
    </row>
    <row r="663" spans="1:2" hidden="1" x14ac:dyDescent="0.2">
      <c r="A663"/>
      <c r="B663"/>
    </row>
    <row r="664" spans="1:2" hidden="1" x14ac:dyDescent="0.2">
      <c r="A664"/>
      <c r="B664"/>
    </row>
    <row r="665" spans="1:2" hidden="1" x14ac:dyDescent="0.2">
      <c r="A665"/>
      <c r="B665"/>
    </row>
    <row r="666" spans="1:2" hidden="1" x14ac:dyDescent="0.2">
      <c r="A666"/>
      <c r="B666"/>
    </row>
    <row r="667" spans="1:2" hidden="1" x14ac:dyDescent="0.2">
      <c r="A667"/>
      <c r="B667"/>
    </row>
    <row r="668" spans="1:2" hidden="1" x14ac:dyDescent="0.2">
      <c r="A668"/>
      <c r="B668"/>
    </row>
    <row r="669" spans="1:2" hidden="1" x14ac:dyDescent="0.2">
      <c r="A669"/>
      <c r="B669"/>
    </row>
    <row r="670" spans="1:2" hidden="1" x14ac:dyDescent="0.2">
      <c r="A670"/>
      <c r="B670"/>
    </row>
    <row r="671" spans="1:2" hidden="1" x14ac:dyDescent="0.2">
      <c r="A671"/>
      <c r="B671"/>
    </row>
    <row r="672" spans="1:2" hidden="1" x14ac:dyDescent="0.2">
      <c r="A672"/>
      <c r="B672"/>
    </row>
    <row r="673" spans="1:2" hidden="1" x14ac:dyDescent="0.2">
      <c r="A673"/>
      <c r="B673"/>
    </row>
    <row r="674" spans="1:2" hidden="1" x14ac:dyDescent="0.2">
      <c r="A674"/>
      <c r="B674"/>
    </row>
    <row r="675" spans="1:2" hidden="1" x14ac:dyDescent="0.2">
      <c r="A675"/>
      <c r="B675"/>
    </row>
    <row r="676" spans="1:2" hidden="1" x14ac:dyDescent="0.2">
      <c r="A676"/>
      <c r="B676"/>
    </row>
    <row r="677" spans="1:2" hidden="1" x14ac:dyDescent="0.2">
      <c r="A677"/>
      <c r="B677"/>
    </row>
    <row r="678" spans="1:2" hidden="1" x14ac:dyDescent="0.2">
      <c r="A678"/>
      <c r="B678"/>
    </row>
    <row r="679" spans="1:2" hidden="1" x14ac:dyDescent="0.2">
      <c r="A679"/>
      <c r="B679"/>
    </row>
    <row r="680" spans="1:2" hidden="1" x14ac:dyDescent="0.2">
      <c r="A680"/>
      <c r="B680"/>
    </row>
    <row r="681" spans="1:2" hidden="1" x14ac:dyDescent="0.2">
      <c r="A681"/>
      <c r="B681"/>
    </row>
    <row r="682" spans="1:2" hidden="1" x14ac:dyDescent="0.2">
      <c r="A682"/>
      <c r="B682"/>
    </row>
    <row r="683" spans="1:2" hidden="1" x14ac:dyDescent="0.2">
      <c r="A683"/>
      <c r="B683"/>
    </row>
    <row r="684" spans="1:2" hidden="1" x14ac:dyDescent="0.2">
      <c r="A684"/>
      <c r="B684"/>
    </row>
    <row r="685" spans="1:2" hidden="1" x14ac:dyDescent="0.2">
      <c r="A685"/>
      <c r="B685"/>
    </row>
    <row r="686" spans="1:2" hidden="1" x14ac:dyDescent="0.2">
      <c r="A686"/>
      <c r="B686"/>
    </row>
    <row r="687" spans="1:2" hidden="1" x14ac:dyDescent="0.2">
      <c r="A687"/>
      <c r="B687"/>
    </row>
    <row r="688" spans="1:2" hidden="1" x14ac:dyDescent="0.2">
      <c r="A688"/>
      <c r="B688"/>
    </row>
    <row r="689" spans="1:2" hidden="1" x14ac:dyDescent="0.2">
      <c r="A689"/>
      <c r="B689"/>
    </row>
    <row r="690" spans="1:2" hidden="1" x14ac:dyDescent="0.2">
      <c r="A690"/>
      <c r="B690"/>
    </row>
    <row r="691" spans="1:2" hidden="1" x14ac:dyDescent="0.2">
      <c r="A691"/>
      <c r="B691"/>
    </row>
    <row r="692" spans="1:2" hidden="1" x14ac:dyDescent="0.2">
      <c r="A692"/>
      <c r="B692"/>
    </row>
    <row r="693" spans="1:2" hidden="1" x14ac:dyDescent="0.2">
      <c r="A693"/>
      <c r="B693"/>
    </row>
    <row r="694" spans="1:2" hidden="1" x14ac:dyDescent="0.2">
      <c r="A694"/>
      <c r="B694"/>
    </row>
    <row r="695" spans="1:2" hidden="1" x14ac:dyDescent="0.2">
      <c r="A695"/>
      <c r="B695"/>
    </row>
    <row r="696" spans="1:2" x14ac:dyDescent="0.2"/>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16" zoomScale="80" zoomScaleNormal="80" workbookViewId="0">
      <selection activeCell="A2" sqref="A2"/>
    </sheetView>
  </sheetViews>
  <sheetFormatPr baseColWidth="10" defaultColWidth="0" defaultRowHeight="0" customHeight="1" zeroHeight="1" x14ac:dyDescent="0.2"/>
  <cols>
    <col min="1" max="1" width="18.75" style="55" customWidth="1"/>
    <col min="2" max="2" width="41.375" style="55" customWidth="1"/>
    <col min="3" max="4" width="19.625" style="55" customWidth="1"/>
    <col min="5" max="5" width="25.125" style="55" customWidth="1"/>
    <col min="6" max="9" width="19.625" style="55" customWidth="1"/>
    <col min="10" max="10" width="18.625" style="55" bestFit="1" customWidth="1"/>
    <col min="11" max="11" width="15.625" style="55" bestFit="1" customWidth="1"/>
    <col min="12" max="12" width="8.5" style="55" customWidth="1"/>
    <col min="13" max="13" width="0" style="55" hidden="1" customWidth="1"/>
    <col min="14" max="16384" width="8.5" style="55" hidden="1"/>
  </cols>
  <sheetData>
    <row r="1" spans="1:10" ht="23.25" hidden="1" customHeight="1" x14ac:dyDescent="0.2">
      <c r="A1" s="55" t="s">
        <v>1451</v>
      </c>
    </row>
    <row r="2" spans="1:10" s="177" customFormat="1" ht="36" customHeight="1" x14ac:dyDescent="0.2">
      <c r="A2" s="175" t="s">
        <v>1478</v>
      </c>
      <c r="B2" s="175"/>
      <c r="C2" s="175"/>
      <c r="D2" s="175"/>
      <c r="E2" s="175"/>
      <c r="F2" s="175"/>
      <c r="G2" s="175"/>
      <c r="H2" s="175"/>
      <c r="I2" s="176" t="str">
        <f>'Auto Responses'!$A$36</f>
      </c>
      <c r="J2" s="176"/>
    </row>
    <row r="3" spans="1:10" ht="21" customHeight="1" x14ac:dyDescent="0.2">
      <c r="A3" s="97"/>
      <c r="B3" s="97"/>
      <c r="C3" s="97"/>
      <c r="D3" s="97"/>
      <c r="E3" s="97"/>
      <c r="F3" s="97"/>
      <c r="G3" s="97"/>
      <c r="H3" s="97"/>
      <c r="I3" s="97"/>
      <c r="J3" s="97"/>
    </row>
    <row r="4" spans="1:10" ht="36" customHeight="1" x14ac:dyDescent="0.2">
      <c r="A4" s="98" t="s">
        <v>866</v>
      </c>
      <c r="B4" s="99"/>
      <c r="C4" s="99"/>
      <c r="D4" s="99"/>
      <c r="E4" s="99"/>
      <c r="F4" s="99"/>
      <c r="G4" s="99"/>
      <c r="H4" s="99"/>
      <c r="I4" s="99"/>
      <c r="J4" s="99"/>
    </row>
    <row r="5" spans="1:10" s="266" customFormat="1" ht="19.5" customHeight="1" x14ac:dyDescent="0.2">
      <c r="A5" s="247" t="str">
        <f>HLOOKUP($A$4,'Auto Responses'!$F$2:$F$7,2,0)&amp;""</f>
      </c>
      <c r="B5" s="247"/>
      <c r="C5" s="247"/>
      <c r="D5" s="247"/>
      <c r="E5" s="247"/>
      <c r="F5" s="247"/>
      <c r="G5" s="247"/>
      <c r="H5" s="247"/>
      <c r="I5" s="247"/>
      <c r="J5" s="247"/>
    </row>
    <row r="6" spans="1:10" s="266" customFormat="1" ht="19.5" customHeight="1" x14ac:dyDescent="0.2">
      <c r="A6" s="247" t="str">
        <f>HLOOKUP($A$4,'Auto Responses'!$F$2:$F$7,3,0)&amp;""</f>
      </c>
      <c r="B6" s="247"/>
      <c r="C6" s="247"/>
      <c r="D6" s="247"/>
      <c r="E6" s="247"/>
      <c r="F6" s="247"/>
      <c r="G6" s="247"/>
      <c r="H6" s="247"/>
      <c r="I6" s="247"/>
      <c r="J6" s="247"/>
    </row>
    <row r="7" spans="1:10" s="266" customFormat="1" ht="19.5" customHeight="1" x14ac:dyDescent="0.2">
      <c r="A7" s="247" t="str">
        <f>HLOOKUP($A$4,'Auto Responses'!$F$2:$F$7,4,0)&amp;""</f>
      </c>
      <c r="B7" s="247"/>
      <c r="C7" s="247"/>
      <c r="D7" s="247"/>
      <c r="E7" s="247"/>
      <c r="F7" s="247"/>
      <c r="G7" s="247"/>
      <c r="H7" s="247"/>
      <c r="I7" s="247"/>
      <c r="J7" s="247"/>
    </row>
    <row r="8" spans="1:10" s="266" customFormat="1" ht="19.5" customHeight="1" x14ac:dyDescent="0.2">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2">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25">
      <c r="A10" s="366" t="str">
        <f>HLOOKUP($A$4,'Auto Responses'!$F$2:$F$8,7,0)&amp;""</f>
      </c>
      <c r="B10" s="61"/>
      <c r="C10" s="61"/>
      <c r="D10" s="61"/>
      <c r="E10" s="61"/>
      <c r="F10" s="61"/>
      <c r="G10" s="61"/>
      <c r="H10" s="61"/>
      <c r="I10" s="61"/>
      <c r="J10" s="61"/>
    </row>
    <row r="11" spans="1:10" s="88" customFormat="1" ht="25.5" customHeight="1" x14ac:dyDescent="0.2">
      <c r="A11" s="155" t="str">
        <f>'START HERE'!$B$13</f>
      </c>
      <c r="B11" s="141"/>
      <c r="C11" s="135" t="str">
        <f>VLOOKUP($A11,'START HERE'!$B$13:$C$21,2,0)&amp;""</f>
      </c>
      <c r="D11" s="136"/>
      <c r="E11" s="137"/>
      <c r="F11" s="89"/>
      <c r="G11" s="89"/>
      <c r="H11" s="94"/>
      <c r="I11" s="89"/>
      <c r="J11" s="89"/>
    </row>
    <row r="12" spans="1:10" s="88" customFormat="1" ht="25.5" customHeight="1" x14ac:dyDescent="0.2">
      <c r="A12" s="156" t="str">
        <f>'START HERE'!$B$16</f>
      </c>
      <c r="B12" s="142"/>
      <c r="C12" s="134" t="str">
        <f>VLOOKUP($A12,'START HERE'!$B$13:$C$21,2,0)&amp;""</f>
      </c>
      <c r="D12" s="96"/>
      <c r="E12" s="138"/>
      <c r="F12" s="89"/>
      <c r="G12" s="89"/>
      <c r="H12" s="94"/>
      <c r="I12" s="89"/>
      <c r="J12" s="89"/>
    </row>
    <row r="13" spans="1:10" s="88" customFormat="1" ht="25.5" customHeight="1" x14ac:dyDescent="0.2">
      <c r="A13" s="156" t="str">
        <f>'START HERE'!$B$17</f>
      </c>
      <c r="B13" s="142"/>
      <c r="C13" s="134" t="str">
        <f>VLOOKUP($A13,'START HERE'!$B$13:$C$21,2,0)&amp;""</f>
      </c>
      <c r="D13" s="96"/>
      <c r="E13" s="138"/>
      <c r="F13" s="89"/>
      <c r="G13" s="89"/>
      <c r="H13" s="94"/>
      <c r="I13" s="89"/>
      <c r="J13" s="89"/>
    </row>
    <row r="14" spans="1:10" s="88" customFormat="1" ht="25.5" customHeight="1" x14ac:dyDescent="0.2">
      <c r="A14" s="156" t="str">
        <f>'START HERE'!$B$18</f>
      </c>
      <c r="B14" s="142"/>
      <c r="C14" s="134" t="str">
        <f>VLOOKUP($A14,'START HERE'!$B$13:$C$21,2,0)&amp;""</f>
      </c>
      <c r="D14" s="96"/>
      <c r="E14" s="138"/>
      <c r="F14" s="132"/>
      <c r="G14" s="133"/>
      <c r="H14" s="133"/>
      <c r="I14" s="133"/>
      <c r="J14" s="133"/>
    </row>
    <row r="15" spans="1:10" s="88" customFormat="1" ht="25.5" customHeight="1" x14ac:dyDescent="0.2">
      <c r="A15" s="156" t="str">
        <f>'START HERE'!$B$14</f>
      </c>
      <c r="B15" s="142"/>
      <c r="C15" s="134" t="str">
        <f>VLOOKUP($A15,'START HERE'!$B$13:$C$21,2,0)&amp;""</f>
      </c>
      <c r="D15" s="96"/>
      <c r="E15" s="138"/>
      <c r="F15" s="132"/>
      <c r="G15" s="133"/>
      <c r="H15" s="133"/>
      <c r="I15" s="133"/>
      <c r="J15" s="133"/>
    </row>
    <row r="16" spans="1:10" s="88" customFormat="1" ht="25.5" customHeight="1" x14ac:dyDescent="0.2">
      <c r="A16" s="156" t="str">
        <f>'START HERE'!$B$15</f>
      </c>
      <c r="B16" s="142"/>
      <c r="C16" s="134" t="str">
        <f>VLOOKUP($A16,'START HERE'!$B$13:$C$21,2,0)&amp;""</f>
      </c>
      <c r="D16" s="96"/>
      <c r="E16" s="138"/>
      <c r="F16" s="132"/>
      <c r="G16" s="133"/>
      <c r="H16" s="133"/>
      <c r="I16" s="133"/>
      <c r="J16" s="133"/>
    </row>
    <row r="17" spans="1:11" s="88" customFormat="1" ht="25.5" customHeight="1" thickBot="1" x14ac:dyDescent="0.25">
      <c r="A17" s="157" t="s">
        <v>948</v>
      </c>
      <c r="B17" s="143"/>
      <c r="C17" s="331">
        <f>'START HERE'!$C$3</f>
      </c>
      <c r="D17" s="139"/>
      <c r="E17" s="140"/>
      <c r="F17" s="132"/>
      <c r="G17" s="133"/>
      <c r="H17" s="133"/>
      <c r="I17" s="133"/>
      <c r="J17" s="133"/>
    </row>
    <row r="18" spans="1:11" s="88" customFormat="1" ht="24.75" customHeight="1" x14ac:dyDescent="0.2">
      <c r="A18" s="89"/>
      <c r="B18" s="89"/>
      <c r="C18" s="254"/>
      <c r="D18" s="95"/>
      <c r="E18" s="89"/>
      <c r="F18" s="89"/>
      <c r="G18" s="89"/>
      <c r="H18" s="90"/>
      <c r="I18" s="90"/>
      <c r="J18" s="90"/>
    </row>
    <row r="19" spans="1:11" s="86" customFormat="1" ht="24" customHeight="1" thickBot="1" x14ac:dyDescent="0.25">
      <c r="A19" s="368"/>
      <c r="B19" s="368"/>
      <c r="C19" s="368"/>
      <c r="D19" s="87"/>
    </row>
    <row r="20" spans="1:11" ht="30" customHeight="1" thickBot="1" x14ac:dyDescent="0.25">
      <c r="A20" s="267" t="s">
        <v>1508</v>
      </c>
      <c r="B20" s="82" t="s">
        <v>947</v>
      </c>
      <c r="C20" s="109" t="s">
        <v>1509</v>
      </c>
      <c r="D20" s="81" t="s">
        <v>1510</v>
      </c>
      <c r="E20" s="108" t="s">
        <v>946</v>
      </c>
      <c r="F20" s="108" t="s">
        <v>945</v>
      </c>
      <c r="G20" s="124" t="s">
        <v>1860</v>
      </c>
      <c r="H20" s="125"/>
      <c r="I20" s="126"/>
    </row>
    <row r="21" spans="1:11" s="83" customFormat="1" ht="40.5" customHeight="1" x14ac:dyDescent="0.2">
      <c r="B21" s="84" t="str">
        <f>VLOOKUP($K21,'Auto Responses'!$N$4:$O$38,2,0)&amp;""</f>
        <v xml:space="preserve"> General Privacy</v>
      </c>
      <c r="C21" s="351"/>
      <c r="D21" s="110" t="str">
        <f>IF($C21=TRUE,SUMIF('(backend scoring)'!$B$3:$B$333,$K21,'(backend scoring)'!$O$3:$O$333),"")</f>
      </c>
      <c r="E21" s="117">
        <f>IF($C21=TRUE,SUMIF('(backend scoring)'!$B$3:$B$333,$K21,'(backend scoring)'!$P$3:$P$333),"")</f>
      </c>
      <c r="F21" s="145">
        <f>IFERROR($E21/$D21,'Auto Responses'!$J$5)</f>
      </c>
      <c r="G21" s="221">
        <f>$G$20&amp;B21</f>
      </c>
      <c r="H21" s="119"/>
      <c r="I21" s="121"/>
      <c r="K21" s="350" t="s">
        <v>907</v>
      </c>
    </row>
    <row r="22" spans="1:11" s="83" customFormat="1" ht="40.5" customHeight="1" x14ac:dyDescent="0.2">
      <c r="B22" s="84">
        <f>VLOOKUP($K22,'Auto Responses'!$N$4:$O$38,2,0)&amp;""</f>
        <v xml:space="preserve"> Privacy-Specific Company Details</v>
      </c>
      <c r="C22" s="116" t="b">
        <v>1</v>
      </c>
      <c r="D22" s="110">
        <f>IF($C22=TRUE,SUMIF('(backend scoring)'!$B$3:$B$333,$K22,'(backend scoring)'!$O$3:$O$333),"")</f>
      </c>
      <c r="E22" s="117">
        <f>IF($C22=TRUE,SUMIF('(backend scoring)'!$B$3:$B$333,$K22,'(backend scoring)'!$P$3:$P$333),"")</f>
      </c>
      <c r="F22" s="144">
        <f>IFERROR($E22/$D22,'Auto Responses'!$J$5)</f>
      </c>
      <c r="G22" s="221">
        <f t="shared" ref="G22:G30" si="0">$G$20&amp;B22</f>
      </c>
      <c r="H22" s="118"/>
      <c r="I22" s="122"/>
      <c r="K22" s="350" t="s">
        <v>909</v>
      </c>
    </row>
    <row r="23" spans="1:11" s="83" customFormat="1" ht="40.5" customHeight="1" x14ac:dyDescent="0.2">
      <c r="B23" s="84">
        <f>VLOOKUP($K23,'Auto Responses'!$N$4:$O$38,2,0)&amp;""</f>
        <v xml:space="preserve"> Privacy-Specific Documentation</v>
      </c>
      <c r="C23" s="116" t="b">
        <v>1</v>
      </c>
      <c r="D23" s="110">
        <f>IF($C23=TRUE,SUMIF('(backend scoring)'!$B$3:$B$333,$K23,'(backend scoring)'!$O$3:$O$333),"")</f>
      </c>
      <c r="E23" s="117">
        <f>IF($C23=TRUE,SUMIF('(backend scoring)'!$B$3:$B$333,$K23,'(backend scoring)'!$P$3:$P$333),"")</f>
      </c>
      <c r="F23" s="144">
        <f>IFERROR($E23/$D23,'Auto Responses'!$J$5)</f>
      </c>
      <c r="G23" s="221">
        <f t="shared" si="0"/>
      </c>
      <c r="H23" s="118"/>
      <c r="I23" s="122"/>
      <c r="K23" s="350" t="s">
        <v>911</v>
      </c>
    </row>
    <row r="24" spans="1:11" s="83" customFormat="1" ht="40.5" customHeight="1" x14ac:dyDescent="0.2">
      <c r="B24" s="84">
        <f>VLOOKUP($K24,'Auto Responses'!$N$4:$O$38,2,0)&amp;""</f>
        <v xml:space="preserve"> Privacy of Third Parties</v>
      </c>
      <c r="C24" s="116" t="b">
        <v>1</v>
      </c>
      <c r="D24" s="110">
        <f>IF($C24=TRUE,SUMIF('(backend scoring)'!$B$3:$B$333,$K24,'(backend scoring)'!$O$3:$O$333),"")</f>
      </c>
      <c r="E24" s="117">
        <f>IF($C24=TRUE,SUMIF('(backend scoring)'!$B$3:$B$333,$K24,'(backend scoring)'!$P$3:$P$333),"")</f>
      </c>
      <c r="F24" s="144">
        <f>IFERROR($E24/$D24,'Auto Responses'!$J$5)</f>
      </c>
      <c r="G24" s="221">
        <f t="shared" si="0"/>
      </c>
      <c r="H24" s="118"/>
      <c r="I24" s="122"/>
      <c r="K24" s="350" t="s">
        <v>912</v>
      </c>
    </row>
    <row r="25" spans="1:11" s="83" customFormat="1" ht="40.5" customHeight="1" x14ac:dyDescent="0.2">
      <c r="B25" s="84">
        <f>VLOOKUP($K25,'Auto Responses'!$N$4:$O$38,2,0)&amp;""</f>
        <v xml:space="preserve"> Privacy Change Management</v>
      </c>
      <c r="C25" s="116" t="b">
        <v>1</v>
      </c>
      <c r="D25" s="110">
        <f>IF($C25=TRUE,SUMIF('(backend scoring)'!$B$3:$B$333,$K25,'(backend scoring)'!$O$3:$O$333),"")</f>
      </c>
      <c r="E25" s="117">
        <f>IF($C25=TRUE,SUMIF('(backend scoring)'!$B$3:$B$333,$K25,'(backend scoring)'!$P$3:$P$333),"")</f>
      </c>
      <c r="F25" s="144">
        <f>IFERROR($E25/$D25,'Auto Responses'!$J$5)</f>
      </c>
      <c r="G25" s="221">
        <f t="shared" si="0"/>
      </c>
      <c r="H25" s="118"/>
      <c r="I25" s="122"/>
      <c r="K25" s="350" t="s">
        <v>914</v>
      </c>
    </row>
    <row r="26" spans="1:11" s="83" customFormat="1" ht="40.5" customHeight="1" x14ac:dyDescent="0.2">
      <c r="B26" s="84">
        <f>VLOOKUP($K26,'Auto Responses'!$N$4:$O$38,2,0)&amp;""</f>
        <v xml:space="preserve"> Privacy of Sensitive Data</v>
      </c>
      <c r="C26" s="116" t="b">
        <v>1</v>
      </c>
      <c r="D26" s="110">
        <f>IF($C26=TRUE,SUMIF('(backend scoring)'!$B$3:$B$333,$K26,'(backend scoring)'!$O$3:$O$333),"")</f>
      </c>
      <c r="E26" s="117">
        <f>IF($C26=TRUE,SUMIF('(backend scoring)'!$B$3:$B$333,$K26,'(backend scoring)'!$P$3:$P$333),"")</f>
      </c>
      <c r="F26" s="144">
        <f>IFERROR($E26/$D26,'Auto Responses'!$J$5)</f>
      </c>
      <c r="G26" s="221">
        <f t="shared" si="0"/>
      </c>
      <c r="H26" s="118"/>
      <c r="I26" s="122"/>
      <c r="K26" s="350" t="s">
        <v>916</v>
      </c>
    </row>
    <row r="27" spans="1:11" s="83" customFormat="1" ht="40.5" customHeight="1" x14ac:dyDescent="0.2">
      <c r="B27" s="84">
        <f>VLOOKUP($K27,'Auto Responses'!$N$4:$O$38,2,0)&amp;""</f>
        <v xml:space="preserve"> Privacy Policies and Procedures</v>
      </c>
      <c r="C27" s="116" t="b">
        <v>1</v>
      </c>
      <c r="D27" s="110">
        <f>IF($C27=TRUE,SUMIF('(backend scoring)'!$B$3:$B$333,$K27,'(backend scoring)'!$O$3:$O$333),"")</f>
      </c>
      <c r="E27" s="117">
        <f>IF($C27=TRUE,SUMIF('(backend scoring)'!$B$3:$B$333,$K27,'(backend scoring)'!$P$3:$P$333),"")</f>
      </c>
      <c r="F27" s="144">
        <f>IFERROR($E27/$D27,'Auto Responses'!$J$5)</f>
      </c>
      <c r="G27" s="221">
        <f t="shared" si="0"/>
      </c>
      <c r="H27" s="118"/>
      <c r="I27" s="122"/>
      <c r="K27" s="350" t="s">
        <v>918</v>
      </c>
    </row>
    <row r="28" spans="1:11" s="83" customFormat="1" ht="40.5" customHeight="1" x14ac:dyDescent="0.2">
      <c r="B28" s="84">
        <f>VLOOKUP($K28,'Auto Responses'!$N$4:$O$38,2,0)&amp;""</f>
        <v xml:space="preserve"> International Privacy</v>
      </c>
      <c r="C28" s="116" t="b">
        <v>1</v>
      </c>
      <c r="D28" s="110">
        <f>IF($C28=TRUE,SUMIF('(backend scoring)'!$B$3:$B$333,$K28,'(backend scoring)'!$O$3:$O$333),"")</f>
      </c>
      <c r="E28" s="117">
        <f>IF($C28=TRUE,SUMIF('(backend scoring)'!$B$3:$B$333,$K28,'(backend scoring)'!$P$3:$P$333),"")</f>
      </c>
      <c r="F28" s="144">
        <f>IFERROR($E28/$D28,'Auto Responses'!$J$5)</f>
      </c>
      <c r="G28" s="221">
        <f t="shared" si="0"/>
      </c>
      <c r="H28" s="118"/>
      <c r="I28" s="122"/>
      <c r="K28" s="350" t="s">
        <v>920</v>
      </c>
    </row>
    <row r="29" spans="1:11" s="83" customFormat="1" ht="40.5" customHeight="1" x14ac:dyDescent="0.2">
      <c r="B29" s="84">
        <f>VLOOKUP($K29,'Auto Responses'!$N$4:$O$38,2,0)&amp;""</f>
        <v xml:space="preserve"> Data Privacy</v>
      </c>
      <c r="C29" s="116" t="b">
        <v>1</v>
      </c>
      <c r="D29" s="110">
        <f>IF($C29=TRUE,SUMIF('(backend scoring)'!$B$3:$B$333,$K29,'(backend scoring)'!$O$3:$O$333),"")</f>
      </c>
      <c r="E29" s="117">
        <f>IF($C29=TRUE,SUMIF('(backend scoring)'!$B$3:$B$333,$K29,'(backend scoring)'!$P$3:$P$333),"")</f>
      </c>
      <c r="F29" s="144">
        <f>IFERROR($E29/$D29,'Auto Responses'!$J$5)</f>
      </c>
      <c r="G29" s="221">
        <f t="shared" si="0"/>
      </c>
      <c r="H29" s="118"/>
      <c r="I29" s="122"/>
      <c r="K29" s="350" t="s">
        <v>1053</v>
      </c>
    </row>
    <row r="30" spans="1:11" s="83" customFormat="1" ht="40.5" customHeight="1" thickBot="1" x14ac:dyDescent="0.25">
      <c r="B30" s="84">
        <f>VLOOKUP($K30,'Auto Responses'!$N$4:$O$38,2,0)&amp;""</f>
        <v xml:space="preserve"> Privacy and AI</v>
      </c>
      <c r="C30" s="116" t="b">
        <v>1</v>
      </c>
      <c r="D30" s="110">
        <f>IF($C30=TRUE,SUMIF('(backend scoring)'!$B$3:$B$333,$K30,'(backend scoring)'!$O$3:$O$333),"")</f>
      </c>
      <c r="E30" s="117">
        <f>IF($C30=TRUE,SUMIF('(backend scoring)'!$B$3:$B$333,$K30,'(backend scoring)'!$P$3:$P$333),"")</f>
      </c>
      <c r="F30" s="144">
        <f>IFERROR($E30/$D30,'Auto Responses'!$J$5)</f>
      </c>
      <c r="G30" s="221">
        <f t="shared" si="0"/>
      </c>
      <c r="H30" s="118"/>
      <c r="I30" s="122"/>
      <c r="K30" s="350" t="s">
        <v>923</v>
      </c>
    </row>
    <row r="31" spans="1:11" s="83" customFormat="1" ht="30" customHeight="1" thickBot="1" x14ac:dyDescent="0.2">
      <c r="B31" s="82" t="s">
        <v>967</v>
      </c>
      <c r="C31" s="109"/>
      <c r="D31" s="111">
        <f>SUM(D21:D30)</f>
      </c>
      <c r="E31" s="111">
        <f>SUM(E21:E30)</f>
      </c>
      <c r="F31" s="80">
        <f>IFERROR($E31/$D31,'Auto Responses'!$J$5)</f>
      </c>
      <c r="G31" s="127"/>
      <c r="H31" s="128"/>
      <c r="I31" s="129"/>
      <c r="J31" s="235" t="s">
        <v>1448</v>
      </c>
    </row>
    <row r="32" spans="1:11" ht="17" x14ac:dyDescent="0.2">
      <c r="F32" s="55" t="s">
        <v>943</v>
      </c>
    </row>
    <row r="33" spans="1:12" ht="16" x14ac:dyDescent="0.2"/>
    <row r="34" spans="1:12" ht="15" customHeight="1" x14ac:dyDescent="0.2"/>
    <row r="35" spans="1:12" s="179" customFormat="1" ht="36" customHeight="1" x14ac:dyDescent="0.15">
      <c r="A35" s="174" t="s">
        <v>1479</v>
      </c>
      <c r="B35" s="174"/>
      <c r="C35" s="178"/>
      <c r="D35" s="174"/>
      <c r="E35" s="174"/>
      <c r="F35" s="174"/>
      <c r="G35" s="174"/>
      <c r="H35" s="174"/>
      <c r="I35" s="174"/>
      <c r="J35" s="174"/>
      <c r="K35" s="174"/>
      <c r="L35" s="35"/>
    </row>
    <row r="36" spans="1:12" s="23" customFormat="1" ht="36" customHeight="1" x14ac:dyDescent="0.15">
      <c r="A36" s="24" t="s">
        <v>850</v>
      </c>
      <c r="B36" s="24"/>
      <c r="C36" s="68"/>
      <c r="D36" s="24"/>
      <c r="E36" s="24"/>
      <c r="F36" s="24"/>
      <c r="G36" s="24"/>
      <c r="H36" s="24"/>
      <c r="I36" s="24"/>
      <c r="J36" s="24"/>
      <c r="K36" s="24"/>
      <c r="L36" s="1"/>
    </row>
    <row r="37" spans="1:12" s="1" customFormat="1" ht="36" customHeight="1" x14ac:dyDescent="0.15">
      <c r="A37" s="11" t="s">
        <v>866</v>
      </c>
      <c r="B37" s="12"/>
      <c r="C37" s="13"/>
      <c r="D37" s="14"/>
      <c r="E37" s="14"/>
      <c r="F37" s="15"/>
      <c r="G37" s="15"/>
      <c r="H37" s="15"/>
      <c r="I37" s="15"/>
      <c r="J37" s="15"/>
      <c r="K37" s="15"/>
    </row>
    <row r="38" spans="1:12" s="1" customFormat="1" ht="19.5" customHeight="1" x14ac:dyDescent="0.15">
      <c r="A38" s="247" t="str">
        <f>HLOOKUP($A$4,'Auto Responses'!$F$2:$F$7,2,0)&amp;""</f>
      </c>
      <c r="B38" s="247"/>
      <c r="C38" s="247"/>
      <c r="D38" s="247"/>
      <c r="E38" s="247"/>
      <c r="F38" s="247"/>
      <c r="G38" s="247"/>
      <c r="H38" s="247"/>
      <c r="I38" s="247"/>
      <c r="J38" s="247"/>
      <c r="K38" s="16"/>
    </row>
    <row r="39" spans="1:12" s="1" customFormat="1" ht="19.5" customHeight="1" x14ac:dyDescent="0.15">
      <c r="A39" s="247" t="str">
        <f>HLOOKUP($A$4,'Auto Responses'!$F$2:$F$7,3,0)&amp;""</f>
      </c>
      <c r="B39" s="247"/>
      <c r="C39" s="247"/>
      <c r="D39" s="247"/>
      <c r="E39" s="247"/>
      <c r="F39" s="247"/>
      <c r="G39" s="247"/>
      <c r="H39" s="247"/>
      <c r="I39" s="247"/>
      <c r="J39" s="247"/>
      <c r="K39" s="16"/>
    </row>
    <row r="40" spans="1:12" s="1" customFormat="1" ht="19.5" customHeight="1" x14ac:dyDescent="0.15">
      <c r="A40" s="247" t="str">
        <f>HLOOKUP($A$4,'Auto Responses'!$F$2:$F$7,4,0)&amp;""</f>
      </c>
      <c r="B40" s="247"/>
      <c r="C40" s="247"/>
      <c r="D40" s="247"/>
      <c r="E40" s="247"/>
      <c r="F40" s="247"/>
      <c r="G40" s="247"/>
      <c r="H40" s="247"/>
      <c r="I40" s="247"/>
      <c r="J40" s="247"/>
      <c r="K40" s="16"/>
    </row>
    <row r="41" spans="1:12" s="1" customFormat="1" ht="19.5" customHeight="1" x14ac:dyDescent="0.15">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15">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2">
      <c r="A43" s="247" t="str">
        <f>HLOOKUP($A$4,'Auto Responses'!$F$2:$F$8,7,0)&amp;""</f>
      </c>
      <c r="B43" s="61"/>
      <c r="C43" s="61"/>
      <c r="D43" s="61"/>
      <c r="E43" s="61"/>
      <c r="F43" s="61"/>
      <c r="G43" s="61"/>
      <c r="H43" s="61"/>
      <c r="I43" s="61"/>
      <c r="J43" s="61"/>
      <c r="K43" s="16"/>
    </row>
    <row r="44" spans="1:12" s="23" customFormat="1" ht="41.25" customHeight="1" thickBot="1" x14ac:dyDescent="0.2">
      <c r="A44" s="25"/>
      <c r="B44" s="25"/>
      <c r="C44" s="69"/>
      <c r="D44" s="25"/>
      <c r="E44" s="25"/>
      <c r="F44" s="186" t="s">
        <v>849</v>
      </c>
      <c r="G44" s="181" t="s">
        <v>1033</v>
      </c>
      <c r="H44" s="182"/>
      <c r="I44" s="182"/>
      <c r="J44" s="182"/>
      <c r="K44" s="183"/>
      <c r="L44" s="1"/>
    </row>
    <row r="45" spans="1:12" s="29" customFormat="1" ht="48" customHeight="1" thickBot="1" x14ac:dyDescent="0.2">
      <c r="A45" s="26" t="s">
        <v>851</v>
      </c>
      <c r="B45" s="27" t="s">
        <v>1</v>
      </c>
      <c r="C45" s="27" t="s">
        <v>852</v>
      </c>
      <c r="D45" s="28" t="s">
        <v>72</v>
      </c>
      <c r="E45" s="301" t="s">
        <v>848</v>
      </c>
      <c r="F45" s="190" t="s">
        <v>1466</v>
      </c>
      <c r="G45" s="46" t="s">
        <v>869</v>
      </c>
      <c r="H45" s="43" t="s">
        <v>871</v>
      </c>
      <c r="I45" s="43" t="s">
        <v>19</v>
      </c>
      <c r="J45" s="44" t="s">
        <v>856</v>
      </c>
      <c r="K45" s="47" t="s">
        <v>867</v>
      </c>
      <c r="L45" s="1"/>
    </row>
    <row r="46" spans="1:12" s="1" customFormat="1" ht="18" x14ac:dyDescent="0.15">
      <c r="A46" s="63" t="str">
        <f>VLOOKUP(LEFT($A47,4),'Auto Responses'!$N$4:$O$38,2,0)&amp;""</f>
        <v xml:space="preserve"> General Privacy</v>
      </c>
      <c r="B46" s="22"/>
      <c r="C46" s="31"/>
      <c r="D46" s="31"/>
      <c r="E46" s="31"/>
      <c r="F46" s="131" t="s">
        <v>1030</v>
      </c>
      <c r="G46" s="328" t="s">
        <v>869</v>
      </c>
      <c r="H46" s="328" t="s">
        <v>871</v>
      </c>
      <c r="I46" s="328" t="s">
        <v>19</v>
      </c>
      <c r="J46" s="328" t="s">
        <v>856</v>
      </c>
      <c r="K46" s="31"/>
    </row>
    <row r="47" spans="1:12" s="29" customFormat="1" ht="102" x14ac:dyDescent="0.15">
      <c r="A47" s="19" t="s">
        <v>857</v>
      </c>
      <c r="B47" s="18">
        <f>VLOOKUP($A47,Questions!$A$2:$X$333,2,0)</f>
      </c>
      <c r="C47" s="45">
        <f>VLOOKUP($A47,Privacy!$A$13:$E$97,3,0)&amp;""</f>
      </c>
      <c r="D47" s="34">
        <f>IF(LEFT(VLOOKUP($A47,Privacy!$A$13:$E$97,5,0),21)='Auto Responses'!$A$32,'Auto Responses'!$A$33,VLOOKUP($A47,Privacy!$A$13:$E$97,4,0))&amp;""</f>
      </c>
      <c r="E47" s="325">
        <f>VLOOKUP($A47,Privacy!$A$13:$E$97,5,0)&amp;""</f>
      </c>
      <c r="F47" s="187"/>
      <c r="G47" s="30" t="str">
        <f>VLOOKUP($A47,Questions!$A$2:$X$333,21,0)&amp;""</f>
      </c>
      <c r="H47" s="184"/>
      <c r="I47" s="45" t="str">
        <f>VLOOKUP($A47,Questions!$A$2:$X$333,23,0)&amp;""</f>
      </c>
      <c r="J47" s="184"/>
      <c r="K47" s="48" t="b">
        <v>0</v>
      </c>
      <c r="L47" s="1"/>
    </row>
    <row r="48" spans="1:12" s="29" customFormat="1" ht="187" x14ac:dyDescent="0.15">
      <c r="A48" s="19" t="s">
        <v>858</v>
      </c>
      <c r="B48" s="18">
        <f>VLOOKUP($A48,Questions!$A$2:$X$333,2,0)</f>
      </c>
      <c r="C48" s="45">
        <f>VLOOKUP($A48,Privacy!$A$13:$E$97,3,0)&amp;""</f>
      </c>
      <c r="D48" s="34">
        <f>IF(LEFT(VLOOKUP($A48,Privacy!$A$13:$E$97,5,0),21)='Auto Responses'!$A$32,'Auto Responses'!$A$33,VLOOKUP($A48,Privacy!$A$13:$E$97,4,0))&amp;""</f>
      </c>
      <c r="E48" s="325">
        <f>VLOOKUP($A48,Privacy!$A$13:$E$97,5,0)&amp;""</f>
      </c>
      <c r="F48" s="187"/>
      <c r="G48" s="30" t="str">
        <f>VLOOKUP($A48,Questions!$A$2:$X$333,21,0)&amp;""</f>
      </c>
      <c r="H48" s="184"/>
      <c r="I48" s="45" t="str">
        <f>VLOOKUP($A48,Questions!$A$2:$X$333,23,0)&amp;""</f>
      </c>
      <c r="J48" s="184"/>
      <c r="K48" s="48" t="b">
        <v>0</v>
      </c>
      <c r="L48" s="1"/>
    </row>
    <row r="49" spans="1:12" s="29" customFormat="1" ht="68" x14ac:dyDescent="0.15">
      <c r="A49" s="19" t="s">
        <v>859</v>
      </c>
      <c r="B49" s="18">
        <f>VLOOKUP($A49,Questions!$A$2:$X$333,2,0)</f>
      </c>
      <c r="C49" s="45">
        <f>VLOOKUP($A49,Privacy!$A$13:$E$97,3,0)&amp;""</f>
      </c>
      <c r="D49" s="34">
        <f>IF(LEFT(VLOOKUP($A49,Privacy!$A$13:$E$97,5,0),21)='Auto Responses'!$A$32,'Auto Responses'!$A$33,VLOOKUP($A49,Privacy!$A$13:$E$97,4,0))&amp;""</f>
      </c>
      <c r="E49" s="325">
        <f>VLOOKUP($A49,Privacy!$A$13:$E$97,5,0)&amp;""</f>
      </c>
      <c r="F49" s="187"/>
      <c r="G49" s="30" t="str">
        <f>VLOOKUP($A49,Questions!$A$2:$X$333,21,0)&amp;""</f>
      </c>
      <c r="H49" s="184"/>
      <c r="I49" s="45" t="str">
        <f>VLOOKUP($A49,Questions!$A$2:$X$333,23,0)&amp;""</f>
      </c>
      <c r="J49" s="184"/>
      <c r="K49" s="48" t="b">
        <v>0</v>
      </c>
      <c r="L49" s="1"/>
    </row>
    <row r="50" spans="1:12" s="29" customFormat="1" ht="85" x14ac:dyDescent="0.15">
      <c r="A50" s="19" t="s">
        <v>860</v>
      </c>
      <c r="B50" s="18">
        <f>VLOOKUP($A50,Questions!$A$2:$X$333,2,0)</f>
      </c>
      <c r="C50" s="45">
        <f>VLOOKUP($A50,Privacy!$A$13:$E$97,3,0)&amp;""</f>
      </c>
      <c r="D50" s="34">
        <f>IF(LEFT(VLOOKUP($A50,Privacy!$A$13:$E$97,5,0),21)='Auto Responses'!$A$32,'Auto Responses'!$A$33,VLOOKUP($A50,Privacy!$A$13:$E$97,4,0))&amp;""</f>
      </c>
      <c r="E50" s="325">
        <f>VLOOKUP($A50,Privacy!$A$13:$E$97,5,0)&amp;""</f>
      </c>
      <c r="F50" s="187"/>
      <c r="G50" s="30" t="str">
        <f>VLOOKUP($A50,Questions!$A$2:$X$333,21,0)&amp;""</f>
      </c>
      <c r="H50" s="184"/>
      <c r="I50" s="45" t="str">
        <f>VLOOKUP($A50,Questions!$A$2:$X$333,23,0)&amp;""</f>
      </c>
      <c r="J50" s="184"/>
      <c r="K50" s="48" t="b">
        <v>0</v>
      </c>
      <c r="L50" s="1"/>
    </row>
    <row r="51" spans="1:12" s="29" customFormat="1" ht="85" x14ac:dyDescent="0.15">
      <c r="A51" s="19" t="s">
        <v>861</v>
      </c>
      <c r="B51" s="18">
        <f>VLOOKUP($A51,Questions!$A$2:$X$333,2,0)</f>
      </c>
      <c r="C51" s="299">
        <f>VLOOKUP($A51,Privacy!$A$13:$E$97,3,0)&amp;""</f>
      </c>
      <c r="D51" s="34">
        <f>IF(LEFT(VLOOKUP($A51,Privacy!$A$13:$E$97,5,0),21)='Auto Responses'!$A$32,'Auto Responses'!$A$33,VLOOKUP($A51,Privacy!$A$13:$E$97,4,0))&amp;""</f>
      </c>
      <c r="E51" s="325">
        <f>VLOOKUP($A51,Privacy!$A$13:$E$97,5,0)&amp;""</f>
      </c>
      <c r="F51" s="187"/>
      <c r="G51" s="30" t="str">
        <f>VLOOKUP($A51,Questions!$A$2:$X$333,21,0)&amp;""</f>
      </c>
      <c r="H51" s="184"/>
      <c r="I51" s="45" t="str">
        <f>VLOOKUP($A51,Questions!$A$2:$X$333,23,0)&amp;""</f>
      </c>
      <c r="J51" s="184"/>
      <c r="K51" s="48" t="b">
        <v>0</v>
      </c>
      <c r="L51" s="1"/>
    </row>
    <row r="52" spans="1:12" s="1" customFormat="1" ht="18" x14ac:dyDescent="0.15">
      <c r="A52" s="63" t="str">
        <f>VLOOKUP(LEFT($A53,4),'Auto Responses'!$N$4:$O$38,2,0)&amp;""</f>
        <v xml:space="preserve"> Privacy-Specific Company Details</v>
      </c>
      <c r="B52" s="22"/>
      <c r="C52" s="31"/>
      <c r="D52" s="31"/>
      <c r="E52" s="324"/>
      <c r="F52" s="131" t="s">
        <v>1030</v>
      </c>
      <c r="G52" s="328" t="s">
        <v>869</v>
      </c>
      <c r="H52" s="328" t="s">
        <v>871</v>
      </c>
      <c r="I52" s="328" t="s">
        <v>19</v>
      </c>
      <c r="J52" s="328" t="s">
        <v>856</v>
      </c>
      <c r="K52" s="31"/>
    </row>
    <row r="53" spans="1:12" s="29" customFormat="1" ht="75" x14ac:dyDescent="0.15">
      <c r="A53" s="19" t="s">
        <v>697</v>
      </c>
      <c r="B53" s="18">
        <f>VLOOKUP($A53,Questions!$A$2:$X$333,2,0)</f>
      </c>
      <c r="C53" s="45">
        <f>VLOOKUP($A53,Privacy!$A$13:$E$97,3,0)&amp;""</f>
      </c>
      <c r="D53" s="34">
        <f>IF(LEFT(VLOOKUP($A53,Privacy!$A$13:$E$97,5,0),21)='Auto Responses'!$A$32,'Auto Responses'!$A$33,VLOOKUP($A53,Privacy!$A$13:$E$97,4,0))&amp;""</f>
      </c>
      <c r="E53" s="323">
        <f>VLOOKUP($A53,Privacy!$A$13:$E$97,5,0)&amp;""</f>
      </c>
      <c r="F53" s="187"/>
      <c r="G53" s="30" t="str">
        <f>VLOOKUP($A53,Questions!$A$2:$X$333,21,0)&amp;""</f>
      </c>
      <c r="H53" s="184"/>
      <c r="I53" s="45" t="str">
        <f>VLOOKUP($A53,Questions!$A$2:$X$333,23,0)&amp;""</f>
      </c>
      <c r="J53" s="184"/>
      <c r="K53" s="48" t="b">
        <v>0</v>
      </c>
      <c r="L53" s="1"/>
    </row>
    <row r="54" spans="1:12" s="29" customFormat="1" ht="272" x14ac:dyDescent="0.15">
      <c r="A54" s="19" t="s">
        <v>699</v>
      </c>
      <c r="B54" s="18">
        <f>VLOOKUP($A54,Questions!$A$2:$X$333,2,0)</f>
      </c>
      <c r="C54" s="299">
        <f>VLOOKUP($A54,Privacy!$A$13:$E$97,3,0)&amp;""</f>
      </c>
      <c r="D54" s="34">
        <f>IF(LEFT(VLOOKUP($A54,Privacy!$A$13:$E$97,5,0),21)='Auto Responses'!$A$32,'Auto Responses'!$A$33,VLOOKUP($A54,Privacy!$A$13:$E$97,4,0))&amp;""</f>
      </c>
      <c r="E54" s="323">
        <f>VLOOKUP($A54,Privacy!$A$13:$E$97,5,0)&amp;""</f>
      </c>
      <c r="F54" s="187"/>
      <c r="G54" s="30" t="str">
        <f>VLOOKUP($A54,Questions!$A$2:$X$333,21,0)&amp;""</f>
      </c>
      <c r="H54" s="184"/>
      <c r="I54" s="45" t="str">
        <f>VLOOKUP($A54,Questions!$A$2:$X$333,23,0)&amp;""</f>
      </c>
      <c r="J54" s="184"/>
      <c r="K54" s="48" t="b">
        <v>0</v>
      </c>
      <c r="L54" s="1"/>
    </row>
    <row r="55" spans="1:12" s="29" customFormat="1" ht="45" x14ac:dyDescent="0.15">
      <c r="A55" s="19" t="s">
        <v>700</v>
      </c>
      <c r="B55" s="18">
        <f>VLOOKUP($A55,Questions!$A$2:$X$333,2,0)</f>
      </c>
      <c r="C55" s="45">
        <f>VLOOKUP($A55,Privacy!$A$13:$E$97,3,0)&amp;""</f>
      </c>
      <c r="D55" s="34">
        <f>IF(LEFT(VLOOKUP($A55,Privacy!$A$13:$E$97,5,0),21)='Auto Responses'!$A$32,'Auto Responses'!$A$33,VLOOKUP($A55,Privacy!$A$13:$E$97,4,0))&amp;""</f>
      </c>
      <c r="E55" s="323">
        <f>VLOOKUP($A55,Privacy!$A$13:$E$97,5,0)&amp;""</f>
      </c>
      <c r="F55" s="187"/>
      <c r="G55" s="30" t="str">
        <f>VLOOKUP($A55,Questions!$A$2:$X$333,21,0)&amp;""</f>
      </c>
      <c r="H55" s="184"/>
      <c r="I55" s="45" t="str">
        <f>VLOOKUP($A55,Questions!$A$2:$X$333,23,0)&amp;""</f>
      </c>
      <c r="J55" s="184"/>
      <c r="K55" s="48" t="b">
        <v>0</v>
      </c>
      <c r="L55" s="1"/>
    </row>
    <row r="56" spans="1:12" s="29" customFormat="1" ht="68" x14ac:dyDescent="0.15">
      <c r="A56" s="19" t="s">
        <v>701</v>
      </c>
      <c r="B56" s="18">
        <f>VLOOKUP($A56,Questions!$A$2:$X$333,2,0)</f>
      </c>
      <c r="C56" s="45">
        <f>VLOOKUP($A56,Privacy!$A$13:$E$97,3,0)&amp;""</f>
      </c>
      <c r="D56" s="34">
        <f>IF(LEFT(VLOOKUP($A56,Privacy!$A$13:$E$97,5,0),21)='Auto Responses'!$A$32,'Auto Responses'!$A$33,VLOOKUP($A56,Privacy!$A$13:$E$97,4,0))&amp;""</f>
      </c>
      <c r="E56" s="323">
        <f>VLOOKUP($A56,Privacy!$A$13:$E$97,5,0)&amp;""</f>
      </c>
      <c r="F56" s="187"/>
      <c r="G56" s="30" t="str">
        <f>VLOOKUP($A56,Questions!$A$2:$X$333,21,0)&amp;""</f>
      </c>
      <c r="H56" s="184"/>
      <c r="I56" s="45" t="str">
        <f>VLOOKUP($A56,Questions!$A$2:$X$333,23,0)&amp;""</f>
      </c>
      <c r="J56" s="184"/>
      <c r="K56" s="48" t="b">
        <v>0</v>
      </c>
      <c r="L56" s="1"/>
    </row>
    <row r="57" spans="1:12" s="1" customFormat="1" ht="18" x14ac:dyDescent="0.15">
      <c r="A57" s="63" t="str">
        <f>VLOOKUP(LEFT($A58,4),'Auto Responses'!$N$4:$O$38,2,0)&amp;""</f>
        <v xml:space="preserve"> Privacy-Specific Documentation</v>
      </c>
      <c r="B57" s="22"/>
      <c r="C57" s="31"/>
      <c r="D57" s="31"/>
      <c r="E57" s="324"/>
      <c r="F57" s="131" t="s">
        <v>1030</v>
      </c>
      <c r="G57" s="328" t="s">
        <v>869</v>
      </c>
      <c r="H57" s="328" t="s">
        <v>871</v>
      </c>
      <c r="I57" s="328" t="s">
        <v>19</v>
      </c>
      <c r="J57" s="328" t="s">
        <v>856</v>
      </c>
      <c r="K57" s="31"/>
    </row>
    <row r="58" spans="1:12" s="29" customFormat="1" ht="51" x14ac:dyDescent="0.15">
      <c r="A58" s="19" t="s">
        <v>702</v>
      </c>
      <c r="B58" s="18">
        <f>VLOOKUP($A58,Questions!$A$2:$X$333,2,0)</f>
      </c>
      <c r="C58" s="45">
        <f>VLOOKUP($A58,Privacy!$A$13:$E$97,3,0)&amp;""</f>
      </c>
      <c r="D58" s="34">
        <f>IF(LEFT(VLOOKUP($A58,Privacy!$A$13:$E$97,5,0),21)='Auto Responses'!$A$32,'Auto Responses'!$A$33,VLOOKUP($A58,Privacy!$A$13:$E$97,4,0))&amp;""</f>
      </c>
      <c r="E58" s="323">
        <f>VLOOKUP($A58,Privacy!$A$13:$E$97,5,0)&amp;""</f>
      </c>
      <c r="F58" s="187"/>
      <c r="G58" s="30" t="str">
        <f>VLOOKUP($A58,Questions!$A$2:$X$333,21,0)&amp;""</f>
      </c>
      <c r="H58" s="184"/>
      <c r="I58" s="45" t="str">
        <f>VLOOKUP($A58,Questions!$A$2:$X$333,23,0)&amp;""</f>
      </c>
      <c r="J58" s="184"/>
      <c r="K58" s="48" t="b">
        <v>0</v>
      </c>
      <c r="L58" s="1"/>
    </row>
    <row r="59" spans="1:12" s="29" customFormat="1" ht="119" x14ac:dyDescent="0.15">
      <c r="A59" s="19" t="s">
        <v>703</v>
      </c>
      <c r="B59" s="18">
        <f>VLOOKUP($A59,Questions!$A$2:$X$333,2,0)</f>
      </c>
      <c r="C59" s="45">
        <f>VLOOKUP($A59,Privacy!$A$13:$E$97,3,0)&amp;""</f>
      </c>
      <c r="D59" s="34">
        <f>IF(LEFT(VLOOKUP($A59,Privacy!$A$13:$E$97,5,0),21)='Auto Responses'!$A$32,'Auto Responses'!$A$33,VLOOKUP($A59,Privacy!$A$13:$E$97,4,0))&amp;""</f>
      </c>
      <c r="E59" s="323">
        <f>VLOOKUP($A59,Privacy!$A$13:$E$97,5,0)&amp;""</f>
      </c>
      <c r="F59" s="187"/>
      <c r="G59" s="30" t="str">
        <f>VLOOKUP($A59,Questions!$A$2:$X$333,21,0)&amp;""</f>
      </c>
      <c r="H59" s="184"/>
      <c r="I59" s="45" t="str">
        <f>VLOOKUP($A59,Questions!$A$2:$X$333,23,0)&amp;""</f>
      </c>
      <c r="J59" s="184"/>
      <c r="K59" s="48" t="b">
        <v>0</v>
      </c>
      <c r="L59" s="1"/>
    </row>
    <row r="60" spans="1:12" s="29" customFormat="1" ht="187" x14ac:dyDescent="0.15">
      <c r="A60" s="19" t="s">
        <v>704</v>
      </c>
      <c r="B60" s="18">
        <f>VLOOKUP($A60,Questions!$A$2:$X$333,2,0)</f>
      </c>
      <c r="C60" s="45">
        <f>VLOOKUP($A60,Privacy!$A$13:$E$97,3,0)&amp;""</f>
      </c>
      <c r="D60" s="34">
        <f>IF(LEFT(VLOOKUP($A60,Privacy!$A$13:$E$97,5,0),21)='Auto Responses'!$A$32,'Auto Responses'!$A$33,VLOOKUP($A60,Privacy!$A$13:$E$97,4,0))&amp;""</f>
      </c>
      <c r="E60" s="323">
        <f>VLOOKUP($A60,Privacy!$A$13:$E$97,5,0)&amp;""</f>
      </c>
      <c r="F60" s="187"/>
      <c r="G60" s="30" t="str">
        <f>VLOOKUP($A60,Questions!$A$2:$X$333,21,0)&amp;""</f>
      </c>
      <c r="H60" s="184"/>
      <c r="I60" s="45" t="str">
        <f>VLOOKUP($A60,Questions!$A$2:$X$333,23,0)&amp;""</f>
      </c>
      <c r="J60" s="184"/>
      <c r="K60" s="48" t="b">
        <v>0</v>
      </c>
      <c r="L60" s="1"/>
    </row>
    <row r="61" spans="1:12" s="1" customFormat="1" ht="18" x14ac:dyDescent="0.15">
      <c r="A61" s="63" t="str">
        <f>VLOOKUP(LEFT($A62,4),'Auto Responses'!$N$4:$O$38,2,0)&amp;""</f>
        <v xml:space="preserve"> Privacy of Third Parties</v>
      </c>
      <c r="B61" s="22"/>
      <c r="C61" s="31"/>
      <c r="D61" s="31"/>
      <c r="E61" s="324"/>
      <c r="F61" s="131" t="s">
        <v>1030</v>
      </c>
      <c r="G61" s="328" t="s">
        <v>869</v>
      </c>
      <c r="H61" s="328" t="s">
        <v>871</v>
      </c>
      <c r="I61" s="328" t="s">
        <v>19</v>
      </c>
      <c r="J61" s="328" t="s">
        <v>856</v>
      </c>
      <c r="K61" s="31"/>
    </row>
    <row r="62" spans="1:12" s="29" customFormat="1" ht="409.6" x14ac:dyDescent="0.15">
      <c r="A62" s="19" t="s">
        <v>706</v>
      </c>
      <c r="B62" s="18">
        <f>VLOOKUP($A62,Questions!$A$2:$X$333,2,0)</f>
      </c>
      <c r="C62" s="45">
        <f>VLOOKUP($A62,Privacy!$A$13:$E$97,3,0)&amp;""</f>
      </c>
      <c r="D62" s="34">
        <f>IF(LEFT(VLOOKUP($A62,Privacy!$A$13:$E$97,5,0),21)='Auto Responses'!$A$32,'Auto Responses'!$A$33,VLOOKUP($A62,Privacy!$A$13:$E$97,4,0))&amp;""</f>
      </c>
      <c r="E62" s="323">
        <f>VLOOKUP($A62,Privacy!$A$13:$E$97,5,0)&amp;""</f>
      </c>
      <c r="F62" s="187"/>
      <c r="G62" s="30" t="str">
        <f>VLOOKUP($A62,Questions!$A$2:$X$333,21,0)&amp;""</f>
      </c>
      <c r="H62" s="184"/>
      <c r="I62" s="45" t="str">
        <f>VLOOKUP($A62,Questions!$A$2:$X$333,23,0)&amp;""</f>
      </c>
      <c r="J62" s="184"/>
      <c r="K62" s="48" t="b">
        <v>0</v>
      </c>
      <c r="L62" s="1"/>
    </row>
    <row r="63" spans="1:12" s="29" customFormat="1" ht="153" x14ac:dyDescent="0.15">
      <c r="A63" s="19" t="s">
        <v>708</v>
      </c>
      <c r="B63" s="18">
        <f>VLOOKUP($A63,Questions!$A$2:$X$333,2,0)</f>
      </c>
      <c r="C63" s="45">
        <f>VLOOKUP($A63,Privacy!$A$13:$E$97,3,0)&amp;""</f>
      </c>
      <c r="D63" s="34">
        <f>IF(LEFT(VLOOKUP($A63,Privacy!$A$13:$E$97,5,0),21)='Auto Responses'!$A$32,'Auto Responses'!$A$33,VLOOKUP($A63,Privacy!$A$13:$E$97,4,0))&amp;""</f>
      </c>
      <c r="E63" s="323">
        <f>VLOOKUP($A63,Privacy!$A$13:$E$97,5,0)&amp;""</f>
      </c>
      <c r="F63" s="187"/>
      <c r="G63" s="30" t="str">
        <f>VLOOKUP($A63,Questions!$A$2:$X$333,21,0)&amp;""</f>
      </c>
      <c r="H63" s="184"/>
      <c r="I63" s="45" t="str">
        <f>VLOOKUP($A63,Questions!$A$2:$X$333,23,0)&amp;""</f>
      </c>
      <c r="J63" s="184"/>
      <c r="K63" s="48" t="b">
        <v>0</v>
      </c>
      <c r="L63" s="1"/>
    </row>
    <row r="64" spans="1:12" s="1" customFormat="1" ht="18" x14ac:dyDescent="0.15">
      <c r="A64" s="63" t="str">
        <f>VLOOKUP(LEFT($A65,4),'Auto Responses'!$N$4:$O$38,2,0)&amp;""</f>
        <v xml:space="preserve"> Privacy Change Management</v>
      </c>
      <c r="B64" s="22"/>
      <c r="C64" s="31"/>
      <c r="D64" s="31"/>
      <c r="E64" s="324"/>
      <c r="F64" s="131" t="s">
        <v>1030</v>
      </c>
      <c r="G64" s="328" t="s">
        <v>869</v>
      </c>
      <c r="H64" s="328" t="s">
        <v>871</v>
      </c>
      <c r="I64" s="328" t="s">
        <v>19</v>
      </c>
      <c r="J64" s="328" t="s">
        <v>856</v>
      </c>
      <c r="K64" s="31"/>
    </row>
    <row r="65" spans="1:12" s="29" customFormat="1" ht="34" x14ac:dyDescent="0.15">
      <c r="A65" s="19" t="s">
        <v>709</v>
      </c>
      <c r="B65" s="18">
        <f>VLOOKUP($A65,Questions!$A$2:$X$333,2,0)</f>
      </c>
      <c r="C65" s="45">
        <f>VLOOKUP($A65,Privacy!$A$13:$E$97,3,0)&amp;""</f>
      </c>
      <c r="D65" s="34">
        <f>IF(LEFT(VLOOKUP($A65,Privacy!$A$13:$E$97,5,0),21)='Auto Responses'!$A$32,'Auto Responses'!$A$33,VLOOKUP($A65,Privacy!$A$13:$E$97,4,0))&amp;""</f>
      </c>
      <c r="E65" s="323">
        <f>VLOOKUP($A65,Privacy!$A$13:$E$97,5,0)&amp;""</f>
      </c>
      <c r="F65" s="187"/>
      <c r="G65" s="30" t="str">
        <f>VLOOKUP($A65,Questions!$A$2:$X$333,21,0)&amp;""</f>
      </c>
      <c r="H65" s="184"/>
      <c r="I65" s="45" t="str">
        <f>VLOOKUP($A65,Questions!$A$2:$X$333,23,0)&amp;""</f>
      </c>
      <c r="J65" s="184"/>
      <c r="K65" s="48" t="b">
        <v>0</v>
      </c>
      <c r="L65" s="1"/>
    </row>
    <row r="66" spans="1:12" s="29" customFormat="1" ht="45" x14ac:dyDescent="0.15">
      <c r="A66" s="19" t="s">
        <v>711</v>
      </c>
      <c r="B66" s="18">
        <f>VLOOKUP($A66,Questions!$A$2:$X$333,2,0)</f>
      </c>
      <c r="C66" s="45">
        <f>VLOOKUP($A66,Privacy!$A$13:$E$97,3,0)&amp;""</f>
      </c>
      <c r="D66" s="34">
        <f>IF(LEFT(VLOOKUP($A66,Privacy!$A$13:$E$97,5,0),21)='Auto Responses'!$A$32,'Auto Responses'!$A$33,VLOOKUP($A66,Privacy!$A$13:$E$97,4,0))&amp;""</f>
      </c>
      <c r="E66" s="323">
        <f>VLOOKUP($A66,Privacy!$A$13:$E$97,5,0)&amp;""</f>
      </c>
      <c r="F66" s="187"/>
      <c r="G66" s="30" t="str">
        <f>VLOOKUP($A66,Questions!$A$2:$X$333,21,0)&amp;""</f>
      </c>
      <c r="H66" s="184"/>
      <c r="I66" s="45" t="str">
        <f>VLOOKUP($A66,Questions!$A$2:$X$333,23,0)&amp;""</f>
      </c>
      <c r="J66" s="184"/>
      <c r="K66" s="48" t="b">
        <v>0</v>
      </c>
      <c r="L66" s="1"/>
    </row>
    <row r="67" spans="1:12" s="1" customFormat="1" ht="18" x14ac:dyDescent="0.15">
      <c r="A67" s="63" t="str">
        <f>VLOOKUP(LEFT($A68,4),'Auto Responses'!$N$4:$O$38,2,0)&amp;""</f>
        <v xml:space="preserve"> Privacy of Sensitive Data</v>
      </c>
      <c r="B67" s="22"/>
      <c r="C67" s="31"/>
      <c r="D67" s="31"/>
      <c r="E67" s="324"/>
      <c r="F67" s="131" t="s">
        <v>1030</v>
      </c>
      <c r="G67" s="328" t="s">
        <v>869</v>
      </c>
      <c r="H67" s="328" t="s">
        <v>871</v>
      </c>
      <c r="I67" s="328" t="s">
        <v>19</v>
      </c>
      <c r="J67" s="328" t="s">
        <v>856</v>
      </c>
      <c r="K67" s="31"/>
    </row>
    <row r="68" spans="1:12" s="29" customFormat="1" ht="272" x14ac:dyDescent="0.15">
      <c r="A68" s="19" t="s">
        <v>713</v>
      </c>
      <c r="B68" s="18">
        <f>VLOOKUP($A68,Questions!$A$2:$X$333,2,0)</f>
      </c>
      <c r="C68" s="45">
        <f>VLOOKUP($A68,Privacy!$A$13:$E$97,3,0)&amp;""</f>
      </c>
      <c r="D68" s="34">
        <f>IF(LEFT(VLOOKUP($A68,Privacy!$A$13:$E$97,5,0),21)='Auto Responses'!$A$32,'Auto Responses'!$A$33,VLOOKUP($A68,Privacy!$A$13:$E$97,4,0))&amp;""</f>
      </c>
      <c r="E68" s="323">
        <f>VLOOKUP($A68,Privacy!$A$13:$E$97,5,0)&amp;""</f>
      </c>
      <c r="F68" s="187"/>
      <c r="G68" s="30" t="str">
        <f>VLOOKUP($A68,Questions!$A$2:$X$333,21,0)&amp;""</f>
      </c>
      <c r="H68" s="184"/>
      <c r="I68" s="45" t="str">
        <f>VLOOKUP($A68,Questions!$A$2:$X$333,23,0)&amp;""</f>
      </c>
      <c r="J68" s="184"/>
      <c r="K68" s="48" t="b">
        <v>0</v>
      </c>
      <c r="L68" s="1"/>
    </row>
    <row r="69" spans="1:12" s="29" customFormat="1" ht="323" x14ac:dyDescent="0.15">
      <c r="A69" s="19" t="s">
        <v>715</v>
      </c>
      <c r="B69" s="18">
        <f>VLOOKUP($A69,Questions!$A$2:$X$333,2,0)</f>
      </c>
      <c r="C69" s="45">
        <f>VLOOKUP($A69,Privacy!$A$13:$E$97,3,0)&amp;""</f>
      </c>
      <c r="D69" s="34">
        <f>IF(LEFT(VLOOKUP($A69,Privacy!$A$13:$E$97,5,0),21)='Auto Responses'!$A$32,'Auto Responses'!$A$33,VLOOKUP($A69,Privacy!$A$13:$E$97,4,0))&amp;""</f>
      </c>
      <c r="E69" s="323">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7"/>
      <c r="G69" s="30" t="str">
        <f>VLOOKUP($A69,Questions!$A$2:$X$333,21,0)&amp;""</f>
      </c>
      <c r="H69" s="184"/>
      <c r="I69" s="45" t="str">
        <f>VLOOKUP($A69,Questions!$A$2:$X$333,23,0)&amp;""</f>
      </c>
      <c r="J69" s="184"/>
      <c r="K69" s="48" t="b">
        <v>0</v>
      </c>
      <c r="L69" s="1"/>
    </row>
    <row r="70" spans="1:12" s="29" customFormat="1" ht="238" x14ac:dyDescent="0.15">
      <c r="A70" s="19" t="s">
        <v>717</v>
      </c>
      <c r="B70" s="18">
        <f>VLOOKUP($A70,Questions!$A$2:$X$333,2,0)</f>
      </c>
      <c r="C70" s="45">
        <f>VLOOKUP($A70,Privacy!$A$13:$E$97,3,0)&amp;""</f>
      </c>
      <c r="D70" s="34">
        <f>IF(LEFT(VLOOKUP($A70,Privacy!$A$13:$E$97,5,0),21)='Auto Responses'!$A$32,'Auto Responses'!$A$33,VLOOKUP($A70,Privacy!$A$13:$E$97,4,0))&amp;""</f>
      </c>
      <c r="E70" s="323">
        <f>VLOOKUP($A70,Privacy!$A$13:$E$97,5,0)&amp;""</f>
      </c>
      <c r="F70" s="187"/>
      <c r="G70" s="30" t="str">
        <f>VLOOKUP($A70,Questions!$A$2:$X$333,21,0)&amp;""</f>
      </c>
      <c r="H70" s="184"/>
      <c r="I70" s="45" t="str">
        <f>VLOOKUP($A70,Questions!$A$2:$X$333,23,0)&amp;""</f>
      </c>
      <c r="J70" s="184"/>
      <c r="K70" s="48" t="b">
        <v>0</v>
      </c>
      <c r="L70" s="1"/>
    </row>
    <row r="71" spans="1:12" s="29" customFormat="1" ht="187" x14ac:dyDescent="0.15">
      <c r="A71" s="19" t="s">
        <v>718</v>
      </c>
      <c r="B71" s="18">
        <f>VLOOKUP($A71,Questions!$A$2:$X$333,2,0)</f>
      </c>
      <c r="C71" s="45">
        <f>VLOOKUP($A71,Privacy!$A$13:$E$97,3,0)&amp;""</f>
      </c>
      <c r="D71" s="34">
        <f>IF(LEFT(VLOOKUP($A71,Privacy!$A$13:$E$97,5,0),21)='Auto Responses'!$A$32,'Auto Responses'!$A$33,VLOOKUP($A71,Privacy!$A$13:$E$97,4,0))&amp;""</f>
      </c>
      <c r="E71" s="323">
        <f>VLOOKUP($A71,Privacy!$A$13:$E$97,5,0)&amp;""</f>
      </c>
      <c r="F71" s="187"/>
      <c r="G71" s="30" t="str">
        <f>VLOOKUP($A71,Questions!$A$2:$X$333,21,0)&amp;""</f>
      </c>
      <c r="H71" s="184"/>
      <c r="I71" s="45" t="str">
        <f>VLOOKUP($A71,Questions!$A$2:$X$333,23,0)&amp;""</f>
      </c>
      <c r="J71" s="184"/>
      <c r="K71" s="48" t="b">
        <v>0</v>
      </c>
      <c r="L71" s="1"/>
    </row>
    <row r="72" spans="1:12" s="29" customFormat="1" ht="85" x14ac:dyDescent="0.15">
      <c r="A72" s="19" t="s">
        <v>719</v>
      </c>
      <c r="B72" s="18">
        <f>VLOOKUP($A72,Questions!$A$2:$X$333,2,0)</f>
      </c>
      <c r="C72" s="45">
        <f>VLOOKUP($A72,Privacy!$A$13:$E$97,3,0)&amp;""</f>
      </c>
      <c r="D72" s="34">
        <f>IF(LEFT(VLOOKUP($A72,Privacy!$A$13:$E$97,5,0),21)='Auto Responses'!$A$32,'Auto Responses'!$A$33,VLOOKUP($A72,Privacy!$A$13:$E$97,4,0))&amp;""</f>
      </c>
      <c r="E72" s="323">
        <f>VLOOKUP($A72,Privacy!$A$13:$E$97,5,0)&amp;""</f>
      </c>
      <c r="F72" s="187"/>
      <c r="G72" s="30" t="str">
        <f>VLOOKUP($A72,Questions!$A$2:$X$333,21,0)&amp;""</f>
      </c>
      <c r="H72" s="184"/>
      <c r="I72" s="45" t="str">
        <f>VLOOKUP($A72,Questions!$A$2:$X$333,23,0)&amp;""</f>
      </c>
      <c r="J72" s="184"/>
      <c r="K72" s="48" t="b">
        <v>0</v>
      </c>
      <c r="L72" s="1"/>
    </row>
    <row r="73" spans="1:12" s="29" customFormat="1" ht="102" x14ac:dyDescent="0.15">
      <c r="A73" s="19" t="s">
        <v>720</v>
      </c>
      <c r="B73" s="18">
        <f>VLOOKUP($A73,Questions!$A$2:$X$333,2,0)</f>
      </c>
      <c r="C73" s="45">
        <f>VLOOKUP($A73,Privacy!$A$13:$E$97,3,0)&amp;""</f>
      </c>
      <c r="D73" s="34">
        <f>IF(LEFT(VLOOKUP($A73,Privacy!$A$13:$E$97,5,0),21)='Auto Responses'!$A$32,'Auto Responses'!$A$33,VLOOKUP($A73,Privacy!$A$13:$E$97,4,0))&amp;""</f>
      </c>
      <c r="E73" s="323">
        <f>VLOOKUP($A73,Privacy!$A$13:$E$97,5,0)&amp;""</f>
      </c>
      <c r="F73" s="187"/>
      <c r="G73" s="30" t="str">
        <f>VLOOKUP($A73,Questions!$A$2:$X$333,21,0)&amp;""</f>
      </c>
      <c r="H73" s="184"/>
      <c r="I73" s="45" t="str">
        <f>VLOOKUP($A73,Questions!$A$2:$X$333,23,0)&amp;""</f>
      </c>
      <c r="J73" s="184"/>
      <c r="K73" s="48" t="b">
        <v>0</v>
      </c>
      <c r="L73" s="1"/>
    </row>
    <row r="74" spans="1:12" s="29" customFormat="1" ht="51" x14ac:dyDescent="0.15">
      <c r="A74" s="19" t="s">
        <v>721</v>
      </c>
      <c r="B74" s="18">
        <f>VLOOKUP($A74,Questions!$A$2:$X$333,2,0)</f>
      </c>
      <c r="C74" s="45">
        <f>VLOOKUP($A74,Privacy!$A$13:$E$97,3,0)&amp;""</f>
      </c>
      <c r="D74" s="34">
        <f>IF(LEFT(VLOOKUP($A74,Privacy!$A$13:$E$97,5,0),21)='Auto Responses'!$A$32,'Auto Responses'!$A$33,VLOOKUP($A74,Privacy!$A$13:$E$97,4,0))&amp;""</f>
      </c>
      <c r="E74" s="323">
        <f>VLOOKUP($A74,Privacy!$A$13:$E$97,5,0)&amp;""</f>
      </c>
      <c r="F74" s="187"/>
      <c r="G74" s="30" t="str">
        <f>VLOOKUP($A74,Questions!$A$2:$X$333,21,0)&amp;""</f>
      </c>
      <c r="H74" s="184"/>
      <c r="I74" s="45" t="str">
        <f>VLOOKUP($A74,Questions!$A$2:$X$333,23,0)&amp;""</f>
      </c>
      <c r="J74" s="184"/>
      <c r="K74" s="48" t="b">
        <v>0</v>
      </c>
      <c r="L74" s="1"/>
    </row>
    <row r="75" spans="1:12" s="29" customFormat="1" ht="45" x14ac:dyDescent="0.15">
      <c r="A75" s="19" t="s">
        <v>723</v>
      </c>
      <c r="B75" s="18">
        <f>VLOOKUP($A75,Questions!$A$2:$X$333,2,0)</f>
      </c>
      <c r="C75" s="45">
        <f>VLOOKUP($A75,Privacy!$A$13:$E$97,3,0)&amp;""</f>
      </c>
      <c r="D75" s="34">
        <f>IF(LEFT(VLOOKUP($A75,Privacy!$A$13:$E$97,5,0),21)='Auto Responses'!$A$32,'Auto Responses'!$A$33,VLOOKUP($A75,Privacy!$A$13:$E$97,4,0))&amp;""</f>
      </c>
      <c r="E75" s="323">
        <f>VLOOKUP($A75,Privacy!$A$13:$E$97,5,0)&amp;""</f>
      </c>
      <c r="F75" s="187"/>
      <c r="G75" s="30" t="str">
        <f>VLOOKUP($A75,Questions!$A$2:$X$333,21,0)&amp;""</f>
      </c>
      <c r="H75" s="184"/>
      <c r="I75" s="45" t="str">
        <f>VLOOKUP($A75,Questions!$A$2:$X$333,23,0)&amp;""</f>
      </c>
      <c r="J75" s="184"/>
      <c r="K75" s="48" t="b">
        <v>0</v>
      </c>
      <c r="L75" s="1"/>
    </row>
    <row r="76" spans="1:12" s="1" customFormat="1" ht="18" x14ac:dyDescent="0.15">
      <c r="A76" s="63" t="str">
        <f>VLOOKUP(LEFT($A77,4),'Auto Responses'!$N$4:$O$38,2,0)&amp;""</f>
        <v xml:space="preserve"> Privacy Policies and Procedures</v>
      </c>
      <c r="B76" s="22"/>
      <c r="C76" s="31"/>
      <c r="D76" s="31"/>
      <c r="E76" s="324"/>
      <c r="F76" s="131" t="s">
        <v>1030</v>
      </c>
      <c r="G76" s="328" t="s">
        <v>869</v>
      </c>
      <c r="H76" s="328" t="s">
        <v>871</v>
      </c>
      <c r="I76" s="328" t="s">
        <v>19</v>
      </c>
      <c r="J76" s="328" t="s">
        <v>856</v>
      </c>
      <c r="K76" s="31"/>
    </row>
    <row r="77" spans="1:12" s="29" customFormat="1" ht="51" x14ac:dyDescent="0.15">
      <c r="A77" s="19" t="s">
        <v>724</v>
      </c>
      <c r="B77" s="18">
        <f>VLOOKUP($A77,Questions!$A$2:$X$333,2,0)</f>
      </c>
      <c r="C77" s="45">
        <f>VLOOKUP($A77,Privacy!$A$13:$E$97,3,0)&amp;""</f>
      </c>
      <c r="D77" s="34">
        <f>IF(LEFT(VLOOKUP($A77,Privacy!$A$13:$E$97,5,0),21)='Auto Responses'!$A$32,'Auto Responses'!$A$33,VLOOKUP($A77,Privacy!$A$13:$E$97,4,0))&amp;""</f>
      </c>
      <c r="E77" s="323">
        <f>VLOOKUP($A77,Privacy!$A$13:$E$97,5,0)&amp;""</f>
      </c>
      <c r="F77" s="187"/>
      <c r="G77" s="30" t="str">
        <f>VLOOKUP($A77,Questions!$A$2:$X$333,21,0)&amp;""</f>
      </c>
      <c r="H77" s="184"/>
      <c r="I77" s="45" t="str">
        <f>VLOOKUP($A77,Questions!$A$2:$X$333,23,0)&amp;""</f>
      </c>
      <c r="J77" s="184"/>
      <c r="K77" s="48" t="b">
        <v>0</v>
      </c>
      <c r="L77" s="1"/>
    </row>
    <row r="78" spans="1:12" s="29" customFormat="1" ht="51" x14ac:dyDescent="0.15">
      <c r="A78" s="19" t="s">
        <v>727</v>
      </c>
      <c r="B78" s="18">
        <f>VLOOKUP($A78,Questions!$A$2:$X$333,2,0)</f>
      </c>
      <c r="C78" s="45">
        <f>VLOOKUP($A78,Privacy!$A$13:$E$97,3,0)&amp;""</f>
      </c>
      <c r="D78" s="34">
        <f>IF(LEFT(VLOOKUP($A78,Privacy!$A$13:$E$97,5,0),21)='Auto Responses'!$A$32,'Auto Responses'!$A$33,VLOOKUP($A78,Privacy!$A$13:$E$97,4,0))&amp;""</f>
      </c>
      <c r="E78" s="323">
        <f>VLOOKUP($A78,Privacy!$A$13:$E$97,5,0)&amp;""</f>
      </c>
      <c r="F78" s="187"/>
      <c r="G78" s="30" t="str">
        <f>VLOOKUP($A78,Questions!$A$2:$X$333,21,0)&amp;""</f>
      </c>
      <c r="H78" s="184"/>
      <c r="I78" s="45" t="str">
        <f>VLOOKUP($A78,Questions!$A$2:$X$333,23,0)&amp;""</f>
      </c>
      <c r="J78" s="184"/>
      <c r="K78" s="48" t="b">
        <v>0</v>
      </c>
      <c r="L78" s="1"/>
    </row>
    <row r="79" spans="1:12" s="29" customFormat="1" ht="119" x14ac:dyDescent="0.15">
      <c r="A79" s="19" t="s">
        <v>730</v>
      </c>
      <c r="B79" s="18">
        <f>VLOOKUP($A79,Questions!$A$2:$X$333,2,0)</f>
      </c>
      <c r="C79" s="45">
        <f>VLOOKUP($A79,Privacy!$A$13:$E$97,3,0)&amp;""</f>
      </c>
      <c r="D79" s="34">
        <f>IF(LEFT(VLOOKUP($A79,Privacy!$A$13:$E$97,5,0),21)='Auto Responses'!$A$32,'Auto Responses'!$A$33,VLOOKUP($A79,Privacy!$A$13:$E$97,4,0))&amp;""</f>
      </c>
      <c r="E79" s="323">
        <f>VLOOKUP($A79,Privacy!$A$13:$E$97,5,0)&amp;""</f>
      </c>
      <c r="F79" s="187"/>
      <c r="G79" s="30" t="str">
        <f>VLOOKUP($A79,Questions!$A$2:$X$333,21,0)&amp;""</f>
      </c>
      <c r="H79" s="184"/>
      <c r="I79" s="45" t="str">
        <f>VLOOKUP($A79,Questions!$A$2:$X$333,23,0)&amp;""</f>
      </c>
      <c r="J79" s="184"/>
      <c r="K79" s="48" t="b">
        <v>0</v>
      </c>
      <c r="L79" s="1"/>
    </row>
    <row r="80" spans="1:12" s="29" customFormat="1" ht="30" x14ac:dyDescent="0.15">
      <c r="A80" s="19" t="s">
        <v>732</v>
      </c>
      <c r="B80" s="18">
        <f>VLOOKUP($A80,Questions!$A$2:$X$333,2,0)</f>
      </c>
      <c r="C80" s="45">
        <f>VLOOKUP($A80,Privacy!$A$13:$E$97,3,0)&amp;""</f>
      </c>
      <c r="D80" s="34">
        <f>IF(LEFT(VLOOKUP($A80,Privacy!$A$13:$E$97,5,0),21)='Auto Responses'!$A$32,'Auto Responses'!$A$33,VLOOKUP($A80,Privacy!$A$13:$E$97,4,0))&amp;""</f>
      </c>
      <c r="E80" s="323">
        <f>VLOOKUP($A80,Privacy!$A$13:$E$97,5,0)&amp;""</f>
      </c>
      <c r="F80" s="187"/>
      <c r="G80" s="30" t="str">
        <f>VLOOKUP($A80,Questions!$A$2:$X$333,21,0)&amp;""</f>
      </c>
      <c r="H80" s="184"/>
      <c r="I80" s="45" t="str">
        <f>VLOOKUP($A80,Questions!$A$2:$X$333,23,0)&amp;""</f>
      </c>
      <c r="J80" s="184"/>
      <c r="K80" s="48" t="b">
        <v>0</v>
      </c>
      <c r="L80" s="1"/>
    </row>
    <row r="81" spans="1:12" s="29" customFormat="1" ht="30" x14ac:dyDescent="0.15">
      <c r="A81" s="19" t="s">
        <v>734</v>
      </c>
      <c r="B81" s="18">
        <f>VLOOKUP($A81,Questions!$A$2:$X$333,2,0)</f>
      </c>
      <c r="C81" s="45">
        <f>VLOOKUP($A81,Privacy!$A$13:$E$97,3,0)&amp;""</f>
      </c>
      <c r="D81" s="34">
        <f>IF(LEFT(VLOOKUP($A81,Privacy!$A$13:$E$97,5,0),21)='Auto Responses'!$A$32,'Auto Responses'!$A$33,VLOOKUP($A81,Privacy!$A$13:$E$97,4,0))&amp;""</f>
      </c>
      <c r="E81" s="323">
        <f>VLOOKUP($A81,Privacy!$A$13:$E$97,5,0)&amp;""</f>
      </c>
      <c r="F81" s="187"/>
      <c r="G81" s="30" t="str">
        <f>VLOOKUP($A81,Questions!$A$2:$X$333,21,0)&amp;""</f>
      </c>
      <c r="H81" s="184"/>
      <c r="I81" s="45" t="str">
        <f>VLOOKUP($A81,Questions!$A$2:$X$333,23,0)&amp;""</f>
      </c>
      <c r="J81" s="184"/>
      <c r="K81" s="48" t="b">
        <v>0</v>
      </c>
      <c r="L81" s="1"/>
    </row>
    <row r="82" spans="1:12" s="29" customFormat="1" ht="68" x14ac:dyDescent="0.15">
      <c r="A82" s="19" t="s">
        <v>736</v>
      </c>
      <c r="B82" s="18">
        <f>VLOOKUP($A82,Questions!$A$2:$X$333,2,0)</f>
      </c>
      <c r="C82" s="45">
        <f>VLOOKUP($A82,Privacy!$A$13:$E$97,3,0)&amp;""</f>
      </c>
      <c r="D82" s="34">
        <f>IF(LEFT(VLOOKUP($A82,Privacy!$A$13:$E$97,5,0),21)='Auto Responses'!$A$32,'Auto Responses'!$A$33,VLOOKUP($A82,Privacy!$A$13:$E$97,4,0))&amp;""</f>
      </c>
      <c r="E82" s="323">
        <f>VLOOKUP($A82,Privacy!$A$13:$E$97,5,0)&amp;""</f>
      </c>
      <c r="F82" s="187"/>
      <c r="G82" s="30" t="str">
        <f>VLOOKUP($A82,Questions!$A$2:$X$333,21,0)&amp;""</f>
      </c>
      <c r="H82" s="184"/>
      <c r="I82" s="45" t="str">
        <f>VLOOKUP($A82,Questions!$A$2:$X$333,23,0)&amp;""</f>
      </c>
      <c r="J82" s="184"/>
      <c r="K82" s="48" t="b">
        <v>0</v>
      </c>
      <c r="L82" s="1"/>
    </row>
    <row r="83" spans="1:12" s="29" customFormat="1" ht="30" x14ac:dyDescent="0.15">
      <c r="A83" s="19" t="s">
        <v>737</v>
      </c>
      <c r="B83" s="18">
        <f>VLOOKUP($A83,Questions!$A$2:$X$333,2,0)</f>
      </c>
      <c r="C83" s="45">
        <f>VLOOKUP($A83,Privacy!$A$13:$E$97,3,0)&amp;""</f>
      </c>
      <c r="D83" s="34">
        <f>IF(LEFT(VLOOKUP($A83,Privacy!$A$13:$E$97,5,0),21)='Auto Responses'!$A$32,'Auto Responses'!$A$33,VLOOKUP($A83,Privacy!$A$13:$E$97,4,0))&amp;""</f>
      </c>
      <c r="E83" s="323">
        <f>VLOOKUP($A83,Privacy!$A$13:$E$97,5,0)&amp;""</f>
      </c>
      <c r="F83" s="187"/>
      <c r="G83" s="30" t="str">
        <f>VLOOKUP($A83,Questions!$A$2:$X$333,21,0)&amp;""</f>
      </c>
      <c r="H83" s="184"/>
      <c r="I83" s="45" t="str">
        <f>VLOOKUP($A83,Questions!$A$2:$X$333,23,0)&amp;""</f>
      </c>
      <c r="J83" s="184"/>
      <c r="K83" s="48" t="b">
        <v>0</v>
      </c>
      <c r="L83" s="1"/>
    </row>
    <row r="84" spans="1:12" s="29" customFormat="1" ht="34" x14ac:dyDescent="0.15">
      <c r="A84" s="19" t="s">
        <v>740</v>
      </c>
      <c r="B84" s="18">
        <f>VLOOKUP($A84,Questions!$A$2:$X$333,2,0)</f>
      </c>
      <c r="C84" s="45">
        <f>VLOOKUP($A84,Privacy!$A$13:$E$97,3,0)&amp;""</f>
      </c>
      <c r="D84" s="34">
        <f>IF(LEFT(VLOOKUP($A84,Privacy!$A$13:$E$97,5,0),21)='Auto Responses'!$A$32,'Auto Responses'!$A$33,VLOOKUP($A84,Privacy!$A$13:$E$97,4,0))&amp;""</f>
      </c>
      <c r="E84" s="323">
        <f>VLOOKUP($A84,Privacy!$A$13:$E$97,5,0)&amp;""</f>
      </c>
      <c r="F84" s="187"/>
      <c r="G84" s="30" t="str">
        <f>VLOOKUP($A84,Questions!$A$2:$X$333,21,0)&amp;""</f>
      </c>
      <c r="H84" s="184"/>
      <c r="I84" s="45" t="str">
        <f>VLOOKUP($A84,Questions!$A$2:$X$333,23,0)&amp;""</f>
      </c>
      <c r="J84" s="184"/>
      <c r="K84" s="48" t="b">
        <v>0</v>
      </c>
      <c r="L84" s="1"/>
    </row>
    <row r="85" spans="1:12" s="29" customFormat="1" ht="119" x14ac:dyDescent="0.15">
      <c r="A85" s="19" t="s">
        <v>743</v>
      </c>
      <c r="B85" s="18">
        <f>VLOOKUP($A85,Questions!$A$2:$X$333,2,0)</f>
      </c>
      <c r="C85" s="45">
        <f>VLOOKUP($A85,Privacy!$A$13:$E$97,3,0)&amp;""</f>
      </c>
      <c r="D85" s="34">
        <f>IF(LEFT(VLOOKUP($A85,Privacy!$A$13:$E$97,5,0),21)='Auto Responses'!$A$32,'Auto Responses'!$A$33,VLOOKUP($A85,Privacy!$A$13:$E$97,4,0))&amp;""</f>
      </c>
      <c r="E85" s="323">
        <f>VLOOKUP($A85,Privacy!$A$13:$E$97,5,0)&amp;""</f>
      </c>
      <c r="F85" s="187"/>
      <c r="G85" s="30" t="str">
        <f>VLOOKUP($A85,Questions!$A$2:$X$333,21,0)&amp;""</f>
      </c>
      <c r="H85" s="184"/>
      <c r="I85" s="45" t="str">
        <f>VLOOKUP($A85,Questions!$A$2:$X$333,23,0)&amp;""</f>
      </c>
      <c r="J85" s="184"/>
      <c r="K85" s="48" t="b">
        <v>0</v>
      </c>
      <c r="L85" s="1"/>
    </row>
    <row r="86" spans="1:12" s="29" customFormat="1" ht="45" x14ac:dyDescent="0.15">
      <c r="A86" s="19" t="s">
        <v>744</v>
      </c>
      <c r="B86" s="18">
        <f>VLOOKUP($A86,Questions!$A$2:$X$333,2,0)</f>
      </c>
      <c r="C86" s="45">
        <f>VLOOKUP($A86,Privacy!$A$13:$E$97,3,0)&amp;""</f>
      </c>
      <c r="D86" s="34">
        <f>IF(LEFT(VLOOKUP($A86,Privacy!$A$13:$E$97,5,0),21)='Auto Responses'!$A$32,'Auto Responses'!$A$33,VLOOKUP($A86,Privacy!$A$13:$E$97,4,0))&amp;""</f>
      </c>
      <c r="E86" s="323">
        <f>VLOOKUP($A86,Privacy!$A$13:$E$97,5,0)&amp;""</f>
      </c>
      <c r="F86" s="187"/>
      <c r="G86" s="30" t="str">
        <f>VLOOKUP($A86,Questions!$A$2:$X$333,21,0)&amp;""</f>
      </c>
      <c r="H86" s="184"/>
      <c r="I86" s="45" t="str">
        <f>VLOOKUP($A86,Questions!$A$2:$X$333,23,0)&amp;""</f>
      </c>
      <c r="J86" s="184"/>
      <c r="K86" s="48" t="b">
        <v>0</v>
      </c>
      <c r="L86" s="1"/>
    </row>
    <row r="87" spans="1:12" s="29" customFormat="1" ht="51" x14ac:dyDescent="0.15">
      <c r="A87" s="19" t="s">
        <v>746</v>
      </c>
      <c r="B87" s="18">
        <f>VLOOKUP($A87,Questions!$A$2:$X$333,2,0)</f>
      </c>
      <c r="C87" s="45">
        <f>VLOOKUP($A87,Privacy!$A$13:$E$97,3,0)&amp;""</f>
      </c>
      <c r="D87" s="34">
        <f>IF(LEFT(VLOOKUP($A87,Privacy!$A$13:$E$97,5,0),21)='Auto Responses'!$A$32,'Auto Responses'!$A$33,VLOOKUP($A87,Privacy!$A$13:$E$97,4,0))&amp;""</f>
      </c>
      <c r="E87" s="323">
        <f>VLOOKUP($A87,Privacy!$A$13:$E$97,5,0)&amp;""</f>
      </c>
      <c r="F87" s="187"/>
      <c r="G87" s="30" t="str">
        <f>VLOOKUP($A87,Questions!$A$2:$X$333,21,0)&amp;""</f>
      </c>
      <c r="H87" s="184"/>
      <c r="I87" s="45" t="str">
        <f>VLOOKUP($A87,Questions!$A$2:$X$333,23,0)&amp;""</f>
      </c>
      <c r="J87" s="184"/>
      <c r="K87" s="48" t="b">
        <v>0</v>
      </c>
      <c r="L87" s="1"/>
    </row>
    <row r="88" spans="1:12" s="29" customFormat="1" ht="34" x14ac:dyDescent="0.15">
      <c r="A88" s="19" t="s">
        <v>749</v>
      </c>
      <c r="B88" s="18">
        <f>VLOOKUP($A88,Questions!$A$2:$X$333,2,0)</f>
      </c>
      <c r="C88" s="45">
        <f>VLOOKUP($A88,Privacy!$A$13:$E$97,3,0)&amp;""</f>
      </c>
      <c r="D88" s="34">
        <f>IF(LEFT(VLOOKUP($A88,Privacy!$A$13:$E$97,5,0),21)='Auto Responses'!$A$32,'Auto Responses'!$A$33,VLOOKUP($A88,Privacy!$A$13:$E$97,4,0))&amp;""</f>
      </c>
      <c r="E88" s="323">
        <f>VLOOKUP($A88,Privacy!$A$13:$E$97,5,0)&amp;""</f>
      </c>
      <c r="F88" s="187"/>
      <c r="G88" s="30" t="str">
        <f>VLOOKUP($A88,Questions!$A$2:$X$333,21,0)&amp;""</f>
      </c>
      <c r="H88" s="184"/>
      <c r="I88" s="45" t="str">
        <f>VLOOKUP($A88,Questions!$A$2:$X$333,23,0)&amp;""</f>
      </c>
      <c r="J88" s="184"/>
      <c r="K88" s="48" t="b">
        <v>0</v>
      </c>
      <c r="L88" s="1"/>
    </row>
    <row r="89" spans="1:12" s="29" customFormat="1" ht="30" x14ac:dyDescent="0.15">
      <c r="A89" s="19" t="s">
        <v>750</v>
      </c>
      <c r="B89" s="18">
        <f>VLOOKUP($A89,Questions!$A$2:$X$333,2,0)</f>
      </c>
      <c r="C89" s="45">
        <f>VLOOKUP($A89,Privacy!$A$13:$E$97,3,0)&amp;""</f>
      </c>
      <c r="D89" s="34">
        <f>IF(LEFT(VLOOKUP($A89,Privacy!$A$13:$E$97,5,0),21)='Auto Responses'!$A$32,'Auto Responses'!$A$33,VLOOKUP($A89,Privacy!$A$13:$E$97,4,0))&amp;""</f>
      </c>
      <c r="E89" s="323">
        <f>VLOOKUP($A89,Privacy!$A$13:$E$97,5,0)&amp;""</f>
      </c>
      <c r="F89" s="187"/>
      <c r="G89" s="30" t="str">
        <f>VLOOKUP($A89,Questions!$A$2:$X$333,21,0)&amp;""</f>
      </c>
      <c r="H89" s="184"/>
      <c r="I89" s="45" t="str">
        <f>VLOOKUP($A89,Questions!$A$2:$X$333,23,0)&amp;""</f>
      </c>
      <c r="J89" s="184"/>
      <c r="K89" s="48" t="b">
        <v>0</v>
      </c>
      <c r="L89" s="1"/>
    </row>
    <row r="90" spans="1:12" s="1" customFormat="1" ht="18" x14ac:dyDescent="0.15">
      <c r="A90" s="63" t="str">
        <f>VLOOKUP(LEFT($A91,4),'Auto Responses'!$N$4:$O$38,2,0)&amp;""</f>
        <v xml:space="preserve"> International Privacy</v>
      </c>
      <c r="B90" s="22"/>
      <c r="C90" s="31"/>
      <c r="D90" s="31"/>
      <c r="E90" s="324"/>
      <c r="F90" s="131" t="s">
        <v>1030</v>
      </c>
      <c r="G90" s="328" t="s">
        <v>869</v>
      </c>
      <c r="H90" s="328" t="s">
        <v>871</v>
      </c>
      <c r="I90" s="328" t="s">
        <v>19</v>
      </c>
      <c r="J90" s="328" t="s">
        <v>856</v>
      </c>
      <c r="K90" s="31"/>
    </row>
    <row r="91" spans="1:12" s="29" customFormat="1" ht="30" x14ac:dyDescent="0.15">
      <c r="A91" s="19" t="s">
        <v>752</v>
      </c>
      <c r="B91" s="18">
        <f>VLOOKUP($A91,Questions!$A$2:$X$333,2,0)</f>
      </c>
      <c r="C91" s="45">
        <f>VLOOKUP($A91,Privacy!$A$13:$E$97,3,0)&amp;""</f>
      </c>
      <c r="D91" s="34">
        <f>IF(LEFT(VLOOKUP($A91,Privacy!$A$13:$E$97,5,0),21)='Auto Responses'!$A$32,'Auto Responses'!$A$33,VLOOKUP($A91,Privacy!$A$13:$E$97,4,0))&amp;""</f>
      </c>
      <c r="E91" s="323">
        <f>VLOOKUP($A91,Privacy!$A$13:$E$97,5,0)&amp;""</f>
      </c>
      <c r="F91" s="187"/>
      <c r="G91" s="30" t="str">
        <f>VLOOKUP($A91,Questions!$A$2:$X$333,21,0)&amp;""</f>
      </c>
      <c r="H91" s="184"/>
      <c r="I91" s="45" t="str">
        <f>VLOOKUP($A91,Questions!$A$2:$X$333,23,0)&amp;""</f>
      </c>
      <c r="J91" s="184"/>
      <c r="K91" s="48" t="b">
        <v>0</v>
      </c>
      <c r="L91" s="1"/>
    </row>
    <row r="92" spans="1:12" s="29" customFormat="1" ht="17" x14ac:dyDescent="0.15">
      <c r="A92" s="19" t="s">
        <v>755</v>
      </c>
      <c r="B92" s="18">
        <f>VLOOKUP($A92,Questions!$A$2:$X$333,2,0)</f>
      </c>
      <c r="C92" s="45">
        <f>VLOOKUP($A92,Privacy!$A$13:$E$97,3,0)&amp;""</f>
      </c>
      <c r="D92" s="34">
        <f>IF(LEFT(VLOOKUP($A92,Privacy!$A$13:$E$97,5,0),21)='Auto Responses'!$A$32,'Auto Responses'!$A$33,VLOOKUP($A92,Privacy!$A$13:$E$97,4,0))&amp;""</f>
      </c>
      <c r="E92" s="323">
        <f>VLOOKUP($A92,Privacy!$A$13:$E$97,5,0)&amp;""</f>
      </c>
      <c r="F92" s="187"/>
      <c r="G92" s="30" t="str">
        <f>VLOOKUP($A92,Questions!$A$2:$X$333,21,0)&amp;""</f>
      </c>
      <c r="H92" s="184"/>
      <c r="I92" s="45" t="str">
        <f>VLOOKUP($A92,Questions!$A$2:$X$333,23,0)&amp;""</f>
      </c>
      <c r="J92" s="184"/>
      <c r="K92" s="48" t="b">
        <v>0</v>
      </c>
      <c r="L92" s="1"/>
    </row>
    <row r="93" spans="1:12" s="29" customFormat="1" ht="30" x14ac:dyDescent="0.15">
      <c r="A93" s="19" t="s">
        <v>757</v>
      </c>
      <c r="B93" s="18">
        <f>VLOOKUP($A93,Questions!$A$2:$X$333,2,0)</f>
      </c>
      <c r="C93" s="45">
        <f>VLOOKUP($A93,Privacy!$A$13:$E$97,3,0)&amp;""</f>
      </c>
      <c r="D93" s="34">
        <f>IF(LEFT(VLOOKUP($A93,Privacy!$A$13:$E$97,5,0),21)='Auto Responses'!$A$32,'Auto Responses'!$A$33,VLOOKUP($A93,Privacy!$A$13:$E$97,4,0))&amp;""</f>
      </c>
      <c r="E93" s="323">
        <f>VLOOKUP($A93,Privacy!$A$13:$E$97,5,0)&amp;""</f>
      </c>
      <c r="F93" s="187"/>
      <c r="G93" s="30" t="str">
        <f>VLOOKUP($A93,Questions!$A$2:$X$333,21,0)&amp;""</f>
      </c>
      <c r="H93" s="184"/>
      <c r="I93" s="45" t="str">
        <f>VLOOKUP($A93,Questions!$A$2:$X$333,23,0)&amp;""</f>
      </c>
      <c r="J93" s="184"/>
      <c r="K93" s="48" t="b">
        <v>0</v>
      </c>
      <c r="L93" s="1"/>
    </row>
    <row r="94" spans="1:12" s="29" customFormat="1" ht="34" x14ac:dyDescent="0.15">
      <c r="A94" s="19" t="s">
        <v>759</v>
      </c>
      <c r="B94" s="18">
        <f>VLOOKUP($A94,Questions!$A$2:$X$333,2,0)</f>
      </c>
      <c r="C94" s="45">
        <f>VLOOKUP($A94,Privacy!$A$13:$E$97,3,0)&amp;""</f>
      </c>
      <c r="D94" s="34">
        <f>IF(LEFT(VLOOKUP($A94,Privacy!$A$13:$E$97,5,0),21)='Auto Responses'!$A$32,'Auto Responses'!$A$33,VLOOKUP($A94,Privacy!$A$13:$E$97,4,0))&amp;""</f>
      </c>
      <c r="E94" s="323">
        <f>VLOOKUP($A94,Privacy!$A$13:$E$97,5,0)&amp;""</f>
      </c>
      <c r="F94" s="187"/>
      <c r="G94" s="30" t="str">
        <f>VLOOKUP($A94,Questions!$A$2:$X$333,21,0)&amp;""</f>
      </c>
      <c r="H94" s="184"/>
      <c r="I94" s="45" t="str">
        <f>VLOOKUP($A94,Questions!$A$2:$X$333,23,0)&amp;""</f>
      </c>
      <c r="J94" s="184"/>
      <c r="K94" s="48" t="b">
        <v>0</v>
      </c>
      <c r="L94" s="1"/>
    </row>
    <row r="95" spans="1:12" s="29" customFormat="1" ht="51" x14ac:dyDescent="0.15">
      <c r="A95" s="19" t="s">
        <v>762</v>
      </c>
      <c r="B95" s="18">
        <f>VLOOKUP($A95,Questions!$A$2:$X$333,2,0)</f>
      </c>
      <c r="C95" s="45">
        <f>VLOOKUP($A95,Privacy!$A$13:$E$97,3,0)&amp;""</f>
      </c>
      <c r="D95" s="34">
        <f>IF(LEFT(VLOOKUP($A95,Privacy!$A$13:$E$97,5,0),21)='Auto Responses'!$A$32,'Auto Responses'!$A$33,VLOOKUP($A95,Privacy!$A$13:$E$97,4,0))&amp;""</f>
      </c>
      <c r="E95" s="323">
        <f>VLOOKUP($A95,Privacy!$A$13:$E$97,5,0)&amp;""</f>
      </c>
      <c r="F95" s="187"/>
      <c r="G95" s="30" t="str">
        <f>VLOOKUP($A95,Questions!$A$2:$X$333,21,0)&amp;""</f>
      </c>
      <c r="H95" s="184"/>
      <c r="I95" s="45" t="str">
        <f>VLOOKUP($A95,Questions!$A$2:$X$333,23,0)&amp;""</f>
      </c>
      <c r="J95" s="184"/>
      <c r="K95" s="48" t="b">
        <v>0</v>
      </c>
      <c r="L95" s="1"/>
    </row>
    <row r="96" spans="1:12" s="1" customFormat="1" ht="18" x14ac:dyDescent="0.15">
      <c r="A96" s="63" t="str">
        <f>VLOOKUP(LEFT($A97,4),'Auto Responses'!$N$4:$O$38,2,0)&amp;""</f>
        <v xml:space="preserve"> Data Privacy</v>
      </c>
      <c r="B96" s="22"/>
      <c r="C96" s="31"/>
      <c r="D96" s="31"/>
      <c r="E96" s="324"/>
      <c r="F96" s="131" t="s">
        <v>1030</v>
      </c>
      <c r="G96" s="328" t="s">
        <v>869</v>
      </c>
      <c r="H96" s="328" t="s">
        <v>871</v>
      </c>
      <c r="I96" s="328" t="s">
        <v>19</v>
      </c>
      <c r="J96" s="328" t="s">
        <v>856</v>
      </c>
      <c r="K96" s="31"/>
    </row>
    <row r="97" spans="1:12" s="29" customFormat="1" ht="34" x14ac:dyDescent="0.15">
      <c r="A97" s="19" t="s">
        <v>1034</v>
      </c>
      <c r="B97" s="18">
        <f>VLOOKUP($A97,Questions!$A$2:$X$333,2,0)</f>
      </c>
      <c r="C97" s="45">
        <f>VLOOKUP($A97,Privacy!$A$13:$E$97,3,0)&amp;""</f>
      </c>
      <c r="D97" s="34">
        <f>IF(LEFT(VLOOKUP($A97,Privacy!$A$13:$E$97,5,0),21)='Auto Responses'!$A$32,'Auto Responses'!$A$33,VLOOKUP($A97,Privacy!$A$13:$E$97,4,0))&amp;""</f>
      </c>
      <c r="E97" s="323">
        <f>VLOOKUP($A97,Privacy!$A$13:$E$97,5,0)&amp;""</f>
      </c>
      <c r="F97" s="187"/>
      <c r="G97" s="30" t="str">
        <f>VLOOKUP($A97,Questions!$A$2:$X$333,21,0)&amp;""</f>
      </c>
      <c r="H97" s="184"/>
      <c r="I97" s="45" t="str">
        <f>VLOOKUP($A97,Questions!$A$2:$X$333,23,0)&amp;""</f>
      </c>
      <c r="J97" s="184"/>
      <c r="K97" s="48" t="b">
        <v>0</v>
      </c>
      <c r="L97" s="1"/>
    </row>
    <row r="98" spans="1:12" s="29" customFormat="1" ht="60" x14ac:dyDescent="0.15">
      <c r="A98" s="19" t="s">
        <v>1035</v>
      </c>
      <c r="B98" s="18">
        <f>VLOOKUP($A98,Questions!$A$2:$X$333,2,0)</f>
      </c>
      <c r="C98" s="45">
        <f>VLOOKUP($A98,Privacy!$A$13:$E$97,3,0)&amp;""</f>
      </c>
      <c r="D98" s="34">
        <f>IF(LEFT(VLOOKUP($A98,Privacy!$A$13:$E$97,5,0),21)='Auto Responses'!$A$32,'Auto Responses'!$A$33,VLOOKUP($A98,Privacy!$A$13:$E$97,4,0))&amp;""</f>
      </c>
      <c r="E98" s="323">
        <f>VLOOKUP($A98,Privacy!$A$13:$E$97,5,0)&amp;""</f>
      </c>
      <c r="F98" s="187"/>
      <c r="G98" s="30" t="str">
        <f>VLOOKUP($A98,Questions!$A$2:$X$333,21,0)&amp;""</f>
      </c>
      <c r="H98" s="184"/>
      <c r="I98" s="45" t="str">
        <f>VLOOKUP($A98,Questions!$A$2:$X$333,23,0)&amp;""</f>
      </c>
      <c r="J98" s="184"/>
      <c r="K98" s="48" t="b">
        <v>0</v>
      </c>
      <c r="L98" s="1"/>
    </row>
    <row r="99" spans="1:12" s="29" customFormat="1" ht="68" x14ac:dyDescent="0.15">
      <c r="A99" s="19" t="s">
        <v>1036</v>
      </c>
      <c r="B99" s="18">
        <f>VLOOKUP($A99,Questions!$A$2:$X$333,2,0)</f>
      </c>
      <c r="C99" s="45">
        <f>VLOOKUP($A99,Privacy!$A$13:$E$97,3,0)&amp;""</f>
      </c>
      <c r="D99" s="34">
        <f>IF(LEFT(VLOOKUP($A99,Privacy!$A$13:$E$97,5,0),21)='Auto Responses'!$A$32,'Auto Responses'!$A$33,VLOOKUP($A99,Privacy!$A$13:$E$97,4,0))&amp;""</f>
      </c>
      <c r="E99" s="323">
        <f>VLOOKUP($A99,Privacy!$A$13:$E$97,5,0)&amp;""</f>
      </c>
      <c r="F99" s="187"/>
      <c r="G99" s="30" t="str">
        <f>VLOOKUP($A99,Questions!$A$2:$X$333,21,0)&amp;""</f>
      </c>
      <c r="H99" s="184"/>
      <c r="I99" s="45" t="str">
        <f>VLOOKUP($A99,Questions!$A$2:$X$333,23,0)&amp;""</f>
      </c>
      <c r="J99" s="184"/>
      <c r="K99" s="48" t="b">
        <v>0</v>
      </c>
      <c r="L99" s="1"/>
    </row>
    <row r="100" spans="1:12" s="29" customFormat="1" ht="60" x14ac:dyDescent="0.15">
      <c r="A100" s="19" t="s">
        <v>1037</v>
      </c>
      <c r="B100" s="18">
        <f>VLOOKUP($A100,Questions!$A$2:$X$333,2,0)</f>
      </c>
      <c r="C100" s="45">
        <f>VLOOKUP($A100,Privacy!$A$13:$E$97,3,0)&amp;""</f>
      </c>
      <c r="D100" s="34">
        <f>IF(LEFT(VLOOKUP($A100,Privacy!$A$13:$E$97,5,0),21)='Auto Responses'!$A$32,'Auto Responses'!$A$33,VLOOKUP($A100,Privacy!$A$13:$E$97,4,0))&amp;""</f>
      </c>
      <c r="E100" s="323">
        <f>VLOOKUP($A100,Privacy!$A$13:$E$97,5,0)&amp;""</f>
      </c>
      <c r="F100" s="187"/>
      <c r="G100" s="30" t="str">
        <f>VLOOKUP($A100,Questions!$A$2:$X$333,21,0)&amp;""</f>
      </c>
      <c r="H100" s="184"/>
      <c r="I100" s="45" t="str">
        <f>VLOOKUP($A100,Questions!$A$2:$X$333,23,0)&amp;""</f>
      </c>
      <c r="J100" s="184"/>
      <c r="K100" s="48" t="b">
        <v>0</v>
      </c>
      <c r="L100" s="1"/>
    </row>
    <row r="101" spans="1:12" s="29" customFormat="1" ht="51" x14ac:dyDescent="0.15">
      <c r="A101" s="19" t="s">
        <v>1038</v>
      </c>
      <c r="B101" s="18">
        <f>VLOOKUP($A101,Questions!$A$2:$X$333,2,0)</f>
      </c>
      <c r="C101" s="45">
        <f>VLOOKUP($A101,Privacy!$A$13:$E$97,3,0)&amp;""</f>
      </c>
      <c r="D101" s="34">
        <f>IF(LEFT(VLOOKUP($A101,Privacy!$A$13:$E$97,5,0),21)='Auto Responses'!$A$32,'Auto Responses'!$A$33,VLOOKUP($A101,Privacy!$A$13:$E$97,4,0))&amp;""</f>
      </c>
      <c r="E101" s="323">
        <f>VLOOKUP($A101,Privacy!$A$13:$E$97,5,0)&amp;""</f>
      </c>
      <c r="F101" s="187"/>
      <c r="G101" s="30" t="str">
        <f>VLOOKUP($A101,Questions!$A$2:$X$333,21,0)&amp;""</f>
      </c>
      <c r="H101" s="184"/>
      <c r="I101" s="45" t="str">
        <f>VLOOKUP($A101,Questions!$A$2:$X$333,23,0)&amp;""</f>
      </c>
      <c r="J101" s="184"/>
      <c r="K101" s="48" t="b">
        <v>0</v>
      </c>
      <c r="L101" s="1"/>
    </row>
    <row r="102" spans="1:12" s="29" customFormat="1" ht="85" x14ac:dyDescent="0.15">
      <c r="A102" s="19" t="s">
        <v>1039</v>
      </c>
      <c r="B102" s="18">
        <f>VLOOKUP($A102,Questions!$A$2:$X$333,2,0)</f>
      </c>
      <c r="C102" s="45">
        <f>VLOOKUP($A102,Privacy!$A$13:$E$97,3,0)&amp;""</f>
      </c>
      <c r="D102" s="34">
        <f>IF(LEFT(VLOOKUP($A102,Privacy!$A$13:$E$97,5,0),21)='Auto Responses'!$A$32,'Auto Responses'!$A$33,VLOOKUP($A102,Privacy!$A$13:$E$97,4,0))&amp;""</f>
      </c>
      <c r="E102" s="323">
        <f>VLOOKUP($A102,Privacy!$A$13:$E$97,5,0)&amp;""</f>
      </c>
      <c r="F102" s="187"/>
      <c r="G102" s="30" t="str">
        <f>VLOOKUP($A102,Questions!$A$2:$X$333,21,0)&amp;""</f>
      </c>
      <c r="H102" s="184"/>
      <c r="I102" s="45" t="str">
        <f>VLOOKUP($A102,Questions!$A$2:$X$333,23,0)&amp;""</f>
      </c>
      <c r="J102" s="184"/>
      <c r="K102" s="48" t="b">
        <v>0</v>
      </c>
      <c r="L102" s="1"/>
    </row>
    <row r="103" spans="1:12" s="29" customFormat="1" ht="136" x14ac:dyDescent="0.15">
      <c r="A103" s="19" t="s">
        <v>1040</v>
      </c>
      <c r="B103" s="18">
        <f>VLOOKUP($A103,Questions!$A$2:$X$333,2,0)</f>
      </c>
      <c r="C103" s="45">
        <f>VLOOKUP($A103,Privacy!$A$13:$E$97,3,0)&amp;""</f>
      </c>
      <c r="D103" s="34">
        <f>IF(LEFT(VLOOKUP($A103,Privacy!$A$13:$E$97,5,0),21)='Auto Responses'!$A$32,'Auto Responses'!$A$33,VLOOKUP($A103,Privacy!$A$13:$E$97,4,0))&amp;""</f>
      </c>
      <c r="E103" s="323">
        <f>VLOOKUP($A103,Privacy!$A$13:$E$97,5,0)&amp;""</f>
      </c>
      <c r="F103" s="187"/>
      <c r="G103" s="30" t="str">
        <f>VLOOKUP($A103,Questions!$A$2:$X$333,21,0)&amp;""</f>
      </c>
      <c r="H103" s="184"/>
      <c r="I103" s="45" t="str">
        <f>VLOOKUP($A103,Questions!$A$2:$X$333,23,0)&amp;""</f>
      </c>
      <c r="J103" s="184"/>
      <c r="K103" s="48" t="b">
        <v>0</v>
      </c>
      <c r="L103" s="1"/>
    </row>
    <row r="104" spans="1:12" s="29" customFormat="1" ht="45" x14ac:dyDescent="0.15">
      <c r="A104" s="19" t="s">
        <v>1041</v>
      </c>
      <c r="B104" s="18">
        <f>VLOOKUP($A104,Questions!$A$2:$X$333,2,0)</f>
      </c>
      <c r="C104" s="45">
        <f>VLOOKUP($A104,Privacy!$A$13:$E$97,3,0)&amp;""</f>
      </c>
      <c r="D104" s="34">
        <f>IF(LEFT(VLOOKUP($A104,Privacy!$A$13:$E$97,5,0),21)='Auto Responses'!$A$32,'Auto Responses'!$A$33,VLOOKUP($A104,Privacy!$A$13:$E$97,4,0))&amp;""</f>
      </c>
      <c r="E104" s="323">
        <f>VLOOKUP($A104,Privacy!$A$13:$E$97,5,0)&amp;""</f>
      </c>
      <c r="F104" s="187"/>
      <c r="G104" s="30" t="str">
        <f>VLOOKUP($A104,Questions!$A$2:$X$333,21,0)&amp;""</f>
      </c>
      <c r="H104" s="184"/>
      <c r="I104" s="45" t="str">
        <f>VLOOKUP($A104,Questions!$A$2:$X$333,23,0)&amp;""</f>
      </c>
      <c r="J104" s="184"/>
      <c r="K104" s="48" t="b">
        <v>0</v>
      </c>
      <c r="L104" s="1"/>
    </row>
    <row r="105" spans="1:12" s="29" customFormat="1" ht="136" x14ac:dyDescent="0.15">
      <c r="A105" s="19" t="s">
        <v>1042</v>
      </c>
      <c r="B105" s="18">
        <f>VLOOKUP($A105,Questions!$A$2:$X$333,2,0)</f>
      </c>
      <c r="C105" s="45">
        <f>VLOOKUP($A105,Privacy!$A$13:$E$97,3,0)&amp;""</f>
      </c>
      <c r="D105" s="34">
        <f>IF(LEFT(VLOOKUP($A105,Privacy!$A$13:$E$97,5,0),21)='Auto Responses'!$A$32,'Auto Responses'!$A$33,VLOOKUP($A105,Privacy!$A$13:$E$97,4,0))&amp;""</f>
      </c>
      <c r="E105" s="323">
        <f>VLOOKUP($A105,Privacy!$A$13:$E$97,5,0)&amp;""</f>
      </c>
      <c r="F105" s="187"/>
      <c r="G105" s="30" t="str">
        <f>VLOOKUP($A105,Questions!$A$2:$X$333,21,0)&amp;""</f>
      </c>
      <c r="H105" s="184"/>
      <c r="I105" s="45" t="str">
        <f>VLOOKUP($A105,Questions!$A$2:$X$333,23,0)&amp;""</f>
      </c>
      <c r="J105" s="184"/>
      <c r="K105" s="48" t="b">
        <v>0</v>
      </c>
      <c r="L105" s="1"/>
    </row>
    <row r="106" spans="1:12" s="29" customFormat="1" ht="45" x14ac:dyDescent="0.15">
      <c r="A106" s="19" t="s">
        <v>1043</v>
      </c>
      <c r="B106" s="18">
        <f>VLOOKUP($A106,Questions!$A$2:$X$333,2,0)</f>
      </c>
      <c r="C106" s="45">
        <f>VLOOKUP($A106,Privacy!$A$13:$E$97,3,0)&amp;""</f>
      </c>
      <c r="D106" s="34">
        <f>IF(LEFT(VLOOKUP($A106,Privacy!$A$13:$E$97,5,0),21)='Auto Responses'!$A$32,'Auto Responses'!$A$33,VLOOKUP($A106,Privacy!$A$13:$E$97,4,0))&amp;""</f>
      </c>
      <c r="E106" s="323">
        <f>VLOOKUP($A106,Privacy!$A$13:$E$97,5,0)&amp;""</f>
      </c>
      <c r="F106" s="187"/>
      <c r="G106" s="30" t="str">
        <f>VLOOKUP($A106,Questions!$A$2:$X$333,21,0)&amp;""</f>
      </c>
      <c r="H106" s="184"/>
      <c r="I106" s="45" t="str">
        <f>VLOOKUP($A106,Questions!$A$2:$X$333,23,0)&amp;""</f>
      </c>
      <c r="J106" s="184"/>
      <c r="K106" s="48" t="b">
        <v>0</v>
      </c>
      <c r="L106" s="1"/>
    </row>
    <row r="107" spans="1:12" s="29" customFormat="1" ht="68" x14ac:dyDescent="0.15">
      <c r="A107" s="19" t="s">
        <v>1044</v>
      </c>
      <c r="B107" s="18">
        <f>VLOOKUP($A107,Questions!$A$2:$X$333,2,0)</f>
      </c>
      <c r="C107" s="45">
        <f>VLOOKUP($A107,Privacy!$A$13:$E$97,3,0)&amp;""</f>
      </c>
      <c r="D107" s="34">
        <f>IF(LEFT(VLOOKUP($A107,Privacy!$A$13:$E$97,5,0),21)='Auto Responses'!$A$32,'Auto Responses'!$A$33,VLOOKUP($A107,Privacy!$A$13:$E$97,4,0))&amp;""</f>
      </c>
      <c r="E107" s="323">
        <f>VLOOKUP($A107,Privacy!$A$13:$E$97,5,0)&amp;""</f>
      </c>
      <c r="F107" s="187"/>
      <c r="G107" s="30" t="str">
        <f>VLOOKUP($A107,Questions!$A$2:$X$333,21,0)&amp;""</f>
      </c>
      <c r="H107" s="184"/>
      <c r="I107" s="45" t="str">
        <f>VLOOKUP($A107,Questions!$A$2:$X$333,23,0)&amp;""</f>
      </c>
      <c r="J107" s="184"/>
      <c r="K107" s="48" t="b">
        <v>0</v>
      </c>
      <c r="L107" s="1"/>
    </row>
    <row r="108" spans="1:12" s="29" customFormat="1" ht="30" x14ac:dyDescent="0.15">
      <c r="A108" s="19" t="s">
        <v>1045</v>
      </c>
      <c r="B108" s="18">
        <f>VLOOKUP($A108,Questions!$A$2:$X$333,2,0)</f>
      </c>
      <c r="C108" s="45">
        <f>VLOOKUP($A108,Privacy!$A$13:$E$97,3,0)&amp;""</f>
      </c>
      <c r="D108" s="34">
        <f>IF(LEFT(VLOOKUP($A108,Privacy!$A$13:$E$97,5,0),21)='Auto Responses'!$A$32,'Auto Responses'!$A$33,VLOOKUP($A108,Privacy!$A$13:$E$97,4,0))&amp;""</f>
      </c>
      <c r="E108" s="323">
        <f>VLOOKUP($A108,Privacy!$A$13:$E$97,5,0)&amp;""</f>
      </c>
      <c r="F108" s="187"/>
      <c r="G108" s="30" t="str">
        <f>VLOOKUP($A108,Questions!$A$2:$X$333,21,0)&amp;""</f>
      </c>
      <c r="H108" s="184"/>
      <c r="I108" s="45" t="str">
        <f>VLOOKUP($A108,Questions!$A$2:$X$333,23,0)&amp;""</f>
      </c>
      <c r="J108" s="184"/>
      <c r="K108" s="48" t="b">
        <v>0</v>
      </c>
      <c r="L108" s="1"/>
    </row>
    <row r="109" spans="1:12" s="29" customFormat="1" ht="105" x14ac:dyDescent="0.15">
      <c r="A109" s="19" t="s">
        <v>1046</v>
      </c>
      <c r="B109" s="18">
        <f>VLOOKUP($A109,Questions!$A$2:$X$333,2,0)</f>
      </c>
      <c r="C109" s="45">
        <f>VLOOKUP($A109,Privacy!$A$13:$E$97,3,0)&amp;""</f>
      </c>
      <c r="D109" s="34">
        <f>IF(LEFT(VLOOKUP($A109,Privacy!$A$13:$E$97,5,0),21)='Auto Responses'!$A$32,'Auto Responses'!$A$33,VLOOKUP($A109,Privacy!$A$13:$E$97,4,0))&amp;""</f>
      </c>
      <c r="E109" s="323">
        <f>VLOOKUP($A109,Privacy!$A$13:$E$97,5,0)&amp;""</f>
      </c>
      <c r="F109" s="187"/>
      <c r="G109" s="30" t="str">
        <f>VLOOKUP($A109,Questions!$A$2:$X$333,21,0)&amp;""</f>
      </c>
      <c r="H109" s="184"/>
      <c r="I109" s="45" t="str">
        <f>VLOOKUP($A109,Questions!$A$2:$X$333,23,0)&amp;""</f>
      </c>
      <c r="J109" s="184"/>
      <c r="K109" s="48" t="b">
        <v>0</v>
      </c>
      <c r="L109" s="1"/>
    </row>
    <row r="110" spans="1:12" s="29" customFormat="1" ht="136" x14ac:dyDescent="0.15">
      <c r="A110" s="19" t="s">
        <v>1047</v>
      </c>
      <c r="B110" s="18">
        <f>VLOOKUP($A110,Questions!$A$2:$X$333,2,0)</f>
      </c>
      <c r="C110" s="45">
        <f>VLOOKUP($A110,Privacy!$A$13:$E$97,3,0)&amp;""</f>
      </c>
      <c r="D110" s="34">
        <f>IF(LEFT(VLOOKUP($A110,Privacy!$A$13:$E$97,5,0),21)='Auto Responses'!$A$32,'Auto Responses'!$A$33,VLOOKUP($A110,Privacy!$A$13:$E$97,4,0))&amp;""</f>
      </c>
      <c r="E110" s="323">
        <f>VLOOKUP($A110,Privacy!$A$13:$E$97,5,0)&amp;""</f>
      </c>
      <c r="F110" s="187"/>
      <c r="G110" s="30" t="str">
        <f>VLOOKUP($A110,Questions!$A$2:$X$333,21,0)&amp;""</f>
      </c>
      <c r="H110" s="184"/>
      <c r="I110" s="45" t="str">
        <f>VLOOKUP($A110,Questions!$A$2:$X$333,23,0)&amp;""</f>
      </c>
      <c r="J110" s="184"/>
      <c r="K110" s="48" t="b">
        <v>0</v>
      </c>
      <c r="L110" s="1"/>
    </row>
    <row r="111" spans="1:12" s="29" customFormat="1" ht="30" x14ac:dyDescent="0.15">
      <c r="A111" s="19" t="s">
        <v>1048</v>
      </c>
      <c r="B111" s="18">
        <f>VLOOKUP($A111,Questions!$A$2:$X$333,2,0)</f>
      </c>
      <c r="C111" s="45">
        <f>VLOOKUP($A111,Privacy!$A$13:$E$97,3,0)&amp;""</f>
      </c>
      <c r="D111" s="34">
        <f>IF(LEFT(VLOOKUP($A111,Privacy!$A$13:$E$97,5,0),21)='Auto Responses'!$A$32,'Auto Responses'!$A$33,VLOOKUP($A111,Privacy!$A$13:$E$97,4,0))&amp;""</f>
      </c>
      <c r="E111" s="323">
        <f>VLOOKUP($A111,Privacy!$A$13:$E$97,5,0)&amp;""</f>
      </c>
      <c r="F111" s="187"/>
      <c r="G111" s="30" t="str">
        <f>VLOOKUP($A111,Questions!$A$2:$X$333,21,0)&amp;""</f>
      </c>
      <c r="H111" s="184"/>
      <c r="I111" s="45" t="str">
        <f>VLOOKUP($A111,Questions!$A$2:$X$333,23,0)&amp;""</f>
      </c>
      <c r="J111" s="184"/>
      <c r="K111" s="48" t="b">
        <v>0</v>
      </c>
      <c r="L111" s="1"/>
    </row>
    <row r="112" spans="1:12" s="1" customFormat="1" ht="18" x14ac:dyDescent="0.15">
      <c r="A112" s="63" t="str">
        <f>VLOOKUP(LEFT($A113,4),'Auto Responses'!$N$4:$O$38,2,0)&amp;""</f>
        <v xml:space="preserve"> Privacy and AI</v>
      </c>
      <c r="B112" s="22"/>
      <c r="C112" s="31"/>
      <c r="D112" s="31"/>
      <c r="E112" s="324"/>
      <c r="F112" s="131" t="s">
        <v>1030</v>
      </c>
      <c r="G112" s="328" t="s">
        <v>869</v>
      </c>
      <c r="H112" s="328" t="s">
        <v>871</v>
      </c>
      <c r="I112" s="328" t="s">
        <v>19</v>
      </c>
      <c r="J112" s="328" t="s">
        <v>856</v>
      </c>
      <c r="K112" s="31"/>
    </row>
    <row r="113" spans="1:12" s="29" customFormat="1" ht="102" x14ac:dyDescent="0.15">
      <c r="A113" s="19" t="s">
        <v>1049</v>
      </c>
      <c r="B113" s="18">
        <f>VLOOKUP($A113,Questions!$A$2:$X$333,2,0)</f>
      </c>
      <c r="C113" s="45">
        <f>VLOOKUP($A113,Privacy!$A$13:$E$97,3,0)&amp;""</f>
      </c>
      <c r="D113" s="34">
        <f>IF(LEFT(VLOOKUP($A113,Privacy!$A$13:$E$97,5,0),21)='Auto Responses'!$A$32,'Auto Responses'!$A$33,VLOOKUP($A113,Privacy!$A$13:$E$97,4,0))&amp;""</f>
      </c>
      <c r="E113" s="323">
        <f>VLOOKUP($A113,Privacy!$A$13:$E$97,5,0)&amp;""</f>
      </c>
      <c r="F113" s="187"/>
      <c r="G113" s="30" t="str">
        <f>VLOOKUP($A113,Questions!$A$2:$X$333,21,0)&amp;""</f>
      </c>
      <c r="H113" s="184"/>
      <c r="I113" s="45" t="str">
        <f>VLOOKUP($A113,Questions!$A$2:$X$333,23,0)&amp;""</f>
      </c>
      <c r="J113" s="184"/>
      <c r="K113" s="48" t="b">
        <v>0</v>
      </c>
      <c r="L113" s="1"/>
    </row>
    <row r="114" spans="1:12" s="29" customFormat="1" ht="136" x14ac:dyDescent="0.15">
      <c r="A114" s="19" t="s">
        <v>1050</v>
      </c>
      <c r="B114" s="18">
        <f>VLOOKUP($A114,Questions!$A$2:$X$333,2,0)</f>
      </c>
      <c r="C114" s="45">
        <f>VLOOKUP($A114,Privacy!$A$13:$E$97,3,0)&amp;""</f>
      </c>
      <c r="D114" s="34">
        <f>IF(LEFT(VLOOKUP($A114,Privacy!$A$13:$E$97,5,0),21)='Auto Responses'!$A$32,'Auto Responses'!$A$33,VLOOKUP($A114,Privacy!$A$13:$E$97,4,0))&amp;""</f>
      </c>
      <c r="E114" s="323">
        <f>VLOOKUP($A114,Privacy!$A$13:$E$97,5,0)&amp;""</f>
      </c>
      <c r="F114" s="187"/>
      <c r="G114" s="30" t="str">
        <f>VLOOKUP($A114,Questions!$A$2:$X$333,21,0)&amp;""</f>
      </c>
      <c r="H114" s="184"/>
      <c r="I114" s="45" t="str">
        <f>VLOOKUP($A114,Questions!$A$2:$X$333,23,0)&amp;""</f>
      </c>
      <c r="J114" s="184"/>
      <c r="K114" s="48" t="b">
        <v>0</v>
      </c>
      <c r="L114" s="1"/>
    </row>
    <row r="115" spans="1:12" s="29" customFormat="1" ht="85" x14ac:dyDescent="0.15">
      <c r="A115" s="19" t="s">
        <v>773</v>
      </c>
      <c r="B115" s="18">
        <f>VLOOKUP($A115,Questions!$A$2:$X$333,2,0)</f>
      </c>
      <c r="C115" s="45">
        <f>VLOOKUP($A115,Privacy!$A$13:$E$97,3,0)&amp;""</f>
      </c>
      <c r="D115" s="34">
        <f>IF(LEFT(VLOOKUP($A115,Privacy!$A$13:$E$97,5,0),21)='Auto Responses'!$A$32,'Auto Responses'!$A$33,VLOOKUP($A115,Privacy!$A$13:$E$97,4,0))&amp;""</f>
      </c>
      <c r="E115" s="323">
        <f>VLOOKUP($A115,Privacy!$A$13:$E$97,5,0)&amp;""</f>
      </c>
      <c r="F115" s="187"/>
      <c r="G115" s="30" t="str">
        <f>VLOOKUP($A115,Questions!$A$2:$X$333,21,0)&amp;""</f>
      </c>
      <c r="H115" s="184"/>
      <c r="I115" s="45" t="str">
        <f>VLOOKUP($A115,Questions!$A$2:$X$333,23,0)&amp;""</f>
      </c>
      <c r="J115" s="184"/>
      <c r="K115" s="48" t="b">
        <v>0</v>
      </c>
      <c r="L115" s="1"/>
    </row>
    <row r="116" spans="1:12" s="29" customFormat="1" ht="51" x14ac:dyDescent="0.15">
      <c r="A116" s="19" t="s">
        <v>775</v>
      </c>
      <c r="B116" s="18">
        <f>VLOOKUP($A116,Questions!$A$2:$X$333,2,0)</f>
      </c>
      <c r="C116" s="45">
        <f>VLOOKUP($A116,Privacy!$A$13:$E$97,3,0)&amp;""</f>
      </c>
      <c r="D116" s="34">
        <f>IF(LEFT(VLOOKUP($A116,Privacy!$A$13:$E$97,5,0),21)='Auto Responses'!$A$32,'Auto Responses'!$A$33,VLOOKUP($A116,Privacy!$A$13:$E$97,4,0))&amp;""</f>
      </c>
      <c r="E116" s="323">
        <f>VLOOKUP($A116,Privacy!$A$13:$E$97,5,0)&amp;""</f>
      </c>
      <c r="F116" s="187"/>
      <c r="G116" s="30" t="str">
        <f>VLOOKUP($A116,Questions!$A$2:$X$333,21,0)&amp;""</f>
      </c>
      <c r="H116" s="184"/>
      <c r="I116" s="45" t="str">
        <f>VLOOKUP($A116,Questions!$A$2:$X$333,23,0)&amp;""</f>
      </c>
      <c r="J116" s="184"/>
      <c r="K116" s="48" t="b">
        <v>0</v>
      </c>
      <c r="L116" s="1"/>
    </row>
    <row r="117" spans="1:12" s="29" customFormat="1" ht="68" x14ac:dyDescent="0.15">
      <c r="A117" s="19" t="s">
        <v>776</v>
      </c>
      <c r="B117" s="18">
        <f>VLOOKUP($A117,Questions!$A$2:$X$333,2,0)</f>
      </c>
      <c r="C117" s="45">
        <f>VLOOKUP($A117,Privacy!$A$13:$E$97,3,0)&amp;""</f>
      </c>
      <c r="D117" s="34">
        <f>IF(LEFT(VLOOKUP($A117,Privacy!$A$13:$E$97,5,0),21)='Auto Responses'!$A$32,'Auto Responses'!$A$33,VLOOKUP($A117,Privacy!$A$13:$E$97,4,0))&amp;""</f>
      </c>
      <c r="E117" s="323">
        <f>VLOOKUP($A117,Privacy!$A$13:$E$97,5,0)&amp;""</f>
      </c>
      <c r="F117" s="187"/>
      <c r="G117" s="30" t="str">
        <f>VLOOKUP($A117,Questions!$A$2:$X$333,21,0)&amp;""</f>
      </c>
      <c r="H117" s="184"/>
      <c r="I117" s="45" t="str">
        <f>VLOOKUP($A117,Questions!$A$2:$X$333,23,0)&amp;""</f>
      </c>
      <c r="J117" s="184"/>
      <c r="K117" s="48" t="b">
        <v>0</v>
      </c>
      <c r="L117" s="1"/>
    </row>
    <row r="118" spans="1:12" s="29" customFormat="1" ht="136" x14ac:dyDescent="0.15">
      <c r="A118" s="19" t="s">
        <v>778</v>
      </c>
      <c r="B118" s="18">
        <f>VLOOKUP($A118,Questions!$A$2:$X$333,2,0)</f>
      </c>
      <c r="C118" s="45">
        <f>VLOOKUP($A118,Privacy!$A$13:$E$97,3,0)&amp;""</f>
      </c>
      <c r="D118" s="34">
        <f>IF(LEFT(VLOOKUP($A118,Privacy!$A$13:$E$97,5,0),21)='Auto Responses'!$A$32,'Auto Responses'!$A$33,VLOOKUP($A118,Privacy!$A$13:$E$97,4,0))&amp;""</f>
      </c>
      <c r="E118" s="323">
        <f>VLOOKUP($A118,Privacy!$A$13:$E$97,5,0)&amp;""</f>
      </c>
      <c r="F118" s="187"/>
      <c r="G118" s="30" t="str">
        <f>VLOOKUP($A118,Questions!$A$2:$X$333,21,0)&amp;""</f>
      </c>
      <c r="H118" s="184"/>
      <c r="I118" s="45" t="str">
        <f>VLOOKUP($A118,Questions!$A$2:$X$333,23,0)&amp;""</f>
      </c>
      <c r="J118" s="184"/>
      <c r="K118" s="48" t="b">
        <v>0</v>
      </c>
      <c r="L118" s="1"/>
    </row>
    <row r="119" spans="1:12" s="29" customFormat="1" ht="68" x14ac:dyDescent="0.15">
      <c r="A119" s="19" t="s">
        <v>779</v>
      </c>
      <c r="B119" s="18">
        <f>VLOOKUP($A119,Questions!$A$2:$X$333,2,0)</f>
      </c>
      <c r="C119" s="45">
        <f>VLOOKUP($A119,Privacy!$A$13:$E$97,3,0)&amp;""</f>
      </c>
      <c r="D119" s="34">
        <f>IF(LEFT(VLOOKUP($A119,Privacy!$A$13:$E$97,5,0),21)='Auto Responses'!$A$32,'Auto Responses'!$A$33,VLOOKUP($A119,Privacy!$A$13:$E$97,4,0))&amp;""</f>
      </c>
      <c r="E119" s="323">
        <f>VLOOKUP($A119,Privacy!$A$13:$E$97,5,0)&amp;""</f>
      </c>
      <c r="F119" s="187"/>
      <c r="G119" s="30" t="str">
        <f>VLOOKUP($A119,Questions!$A$2:$X$333,21,0)&amp;""</f>
      </c>
      <c r="H119" s="184"/>
      <c r="I119" s="45" t="str">
        <f>VLOOKUP($A119,Questions!$A$2:$X$333,23,0)&amp;""</f>
      </c>
      <c r="J119" s="184"/>
      <c r="K119" s="48" t="b">
        <v>0</v>
      </c>
      <c r="L119" s="1"/>
    </row>
    <row r="120" spans="1:12" s="29" customFormat="1" ht="68" x14ac:dyDescent="0.15">
      <c r="A120" s="19" t="s">
        <v>780</v>
      </c>
      <c r="B120" s="18">
        <f>VLOOKUP($A120,Questions!$A$2:$X$333,2,0)</f>
      </c>
      <c r="C120" s="45">
        <f>VLOOKUP($A120,Privacy!$A$13:$E$97,3,0)&amp;""</f>
      </c>
      <c r="D120" s="34">
        <f>IF(LEFT(VLOOKUP($A120,Privacy!$A$13:$E$97,5,0),21)='Auto Responses'!$A$32,'Auto Responses'!$A$33,VLOOKUP($A120,Privacy!$A$13:$E$97,4,0))&amp;""</f>
      </c>
      <c r="E120" s="323">
        <f>VLOOKUP($A120,Privacy!$A$13:$E$97,5,0)&amp;""</f>
      </c>
      <c r="F120" s="187"/>
      <c r="G120" s="30" t="str">
        <f>VLOOKUP($A120,Questions!$A$2:$X$333,21,0)&amp;""</f>
      </c>
      <c r="H120" s="184"/>
      <c r="I120" s="45" t="str">
        <f>VLOOKUP($A120,Questions!$A$2:$X$333,23,0)&amp;""</f>
      </c>
      <c r="J120" s="184"/>
      <c r="K120" s="48" t="b">
        <v>0</v>
      </c>
      <c r="L120" s="1"/>
    </row>
    <row r="121" spans="1:12" ht="16" x14ac:dyDescent="0.2"/>
    <row r="122" spans="1:12" ht="16" x14ac:dyDescent="0.2"/>
    <row r="123" spans="1:12" s="1" customFormat="1" ht="19" thickBot="1" x14ac:dyDescent="0.2">
      <c r="A123" s="217" t="s">
        <v>1506</v>
      </c>
      <c r="B123" s="218"/>
      <c r="C123" s="219"/>
      <c r="D123" s="219"/>
      <c r="E123" s="219"/>
      <c r="F123" s="220"/>
      <c r="G123" s="219"/>
      <c r="H123" s="219"/>
      <c r="I123" s="219"/>
      <c r="J123" s="219"/>
      <c r="K123" s="219"/>
    </row>
    <row r="124" spans="1:12" s="29" customFormat="1" ht="35" thickBot="1" x14ac:dyDescent="0.2">
      <c r="A124" s="26" t="s">
        <v>851</v>
      </c>
      <c r="B124" s="27" t="s">
        <v>1</v>
      </c>
      <c r="C124" s="27" t="s">
        <v>852</v>
      </c>
      <c r="D124" s="28" t="s">
        <v>72</v>
      </c>
      <c r="E124" s="27" t="s">
        <v>848</v>
      </c>
      <c r="F124" s="186" t="s">
        <v>849</v>
      </c>
      <c r="G124" s="46" t="s">
        <v>869</v>
      </c>
      <c r="H124" s="43" t="s">
        <v>871</v>
      </c>
      <c r="I124" s="43" t="s">
        <v>19</v>
      </c>
      <c r="J124" s="44" t="s">
        <v>856</v>
      </c>
      <c r="K124" s="47" t="s">
        <v>867</v>
      </c>
      <c r="L124" s="1"/>
    </row>
    <row r="125" spans="1:12" s="1" customFormat="1" ht="18" x14ac:dyDescent="0.15">
      <c r="A125" s="63" t="str">
        <f>VLOOKUP(LEFT($A126,4),'Auto Responses'!$N$4:$O$38,2,0)&amp;""</f>
        <v xml:space="preserve"> Company Information</v>
      </c>
      <c r="B125" s="22"/>
      <c r="C125" s="31"/>
      <c r="D125" s="31"/>
      <c r="E125" s="31"/>
      <c r="F125" s="131" t="s">
        <v>1030</v>
      </c>
      <c r="G125" s="31"/>
      <c r="H125" s="31"/>
      <c r="I125" s="31"/>
      <c r="J125" s="31"/>
      <c r="K125" s="31"/>
    </row>
    <row r="126" spans="1:12" s="29" customFormat="1" ht="102" x14ac:dyDescent="0.2">
      <c r="A126" s="19" t="s">
        <v>35</v>
      </c>
      <c r="B126" s="18">
        <f>VLOOKUP($A126,Questions!$A$2:$X$333,2,0)</f>
      </c>
      <c r="C126" s="45">
        <f>VLOOKUP($A126,'Institution Evaluation'!$A$56:$K$345,3,0)&amp;""</f>
      </c>
      <c r="D126" s="45">
        <f>VLOOKUP($A126,'Institution Evaluation'!$A$56:$K$345,4,0)&amp;""</f>
      </c>
      <c r="E126" s="323">
        <f>VLOOKUP($A126,'Institution Evaluation'!$A$56:$K$345,5,0)&amp;""</f>
      </c>
      <c r="F126" s="187">
        <f>VLOOKUP($A126,'Institution Evaluation'!$A$56:$K$345,6,0)&amp;""</f>
      </c>
      <c r="G126" s="30">
        <f>VLOOKUP($A126,'Institution Evaluation'!$A$56:$K$345,7,0)&amp;""</f>
      </c>
      <c r="H126" s="184">
        <f>VLOOKUP($A126,'Institution Evaluation'!$A$56:$K$345,8,0)&amp;""</f>
      </c>
      <c r="I126" s="45">
        <f>VLOOKUP($A126,'Institution Evaluation'!$A$56:$K$345,9,0)&amp;""</f>
      </c>
      <c r="J126" s="185">
        <f>VLOOKUP($A126,'Institution Evaluation'!$A$56:$K$345,10,0)&amp;""</f>
      </c>
      <c r="K126" s="48">
        <f>IF(VLOOKUP($A126,'Institution Evaluation'!$A$56:$K$345,10,0)=TRUE,'Auto Responses'!$J$3,"")</f>
      </c>
      <c r="L126" s="48">
        <f>IF(VLOOKUP($A126,'Institution Evaluation'!$A$56:$K$345,10,0)=TRUE,'Auto Responses'!$J$3,"")</f>
      </c>
    </row>
    <row r="127" spans="1:12" ht="136" x14ac:dyDescent="0.2">
      <c r="A127" s="19" t="s">
        <v>42</v>
      </c>
      <c r="B127" s="18">
        <f>VLOOKUP($A127,Questions!$A$2:$X$333,2,0)</f>
      </c>
      <c r="C127" s="45">
        <f>VLOOKUP($A127,'Institution Evaluation'!$A$56:$K$345,3,0)&amp;""</f>
      </c>
      <c r="D127" s="45">
        <f>VLOOKUP($A127,'Institution Evaluation'!$A$56:$K$345,4,0)&amp;""</f>
      </c>
      <c r="E127" s="323">
        <f>VLOOKUP($A127,'Institution Evaluation'!$A$56:$K$345,5,0)&amp;""</f>
      </c>
      <c r="F127" s="187">
        <f>VLOOKUP($A127,'Institution Evaluation'!$A$56:$K$345,6,0)&amp;""</f>
      </c>
      <c r="G127" s="30">
        <f>VLOOKUP($A127,'Institution Evaluation'!$A$56:$K$345,7,0)&amp;""</f>
      </c>
      <c r="H127" s="184">
        <f>VLOOKUP($A127,'Institution Evaluation'!$A$56:$K$345,8,0)&amp;""</f>
      </c>
      <c r="I127" s="45">
        <f>VLOOKUP($A127,'Institution Evaluation'!$A$56:$K$345,9,0)&amp;""</f>
      </c>
      <c r="J127" s="185">
        <f>VLOOKUP($A127,'Institution Evaluation'!$A$56:$K$345,10,0)&amp;""</f>
      </c>
      <c r="K127" s="48">
        <f>IF(VLOOKUP($A127,'Institution Evaluation'!$A$56:$K$345,10,0)=TRUE,'Auto Responses'!$J$3,"")</f>
      </c>
    </row>
    <row r="128" spans="1:12" ht="34" x14ac:dyDescent="0.2">
      <c r="A128" s="19" t="s">
        <v>44</v>
      </c>
      <c r="B128" s="18">
        <f>VLOOKUP($A128,Questions!$A$2:$X$333,2,0)</f>
      </c>
      <c r="C128" s="45">
        <f>VLOOKUP($A128,'Institution Evaluation'!$A$56:$K$345,3,0)&amp;""</f>
      </c>
      <c r="D128" s="45">
        <f>VLOOKUP($A128,'Institution Evaluation'!$A$56:$K$345,4,0)&amp;""</f>
      </c>
      <c r="E128" s="323">
        <f>VLOOKUP($A128,'Institution Evaluation'!$A$56:$K$345,5,0)&amp;""</f>
      </c>
      <c r="F128" s="187">
        <f>VLOOKUP($A128,'Institution Evaluation'!$A$56:$K$345,6,0)&amp;""</f>
      </c>
      <c r="G128" s="30">
        <f>VLOOKUP($A128,'Institution Evaluation'!$A$56:$K$345,7,0)&amp;""</f>
      </c>
      <c r="H128" s="184">
        <f>VLOOKUP($A128,'Institution Evaluation'!$A$56:$K$345,8,0)&amp;""</f>
      </c>
      <c r="I128" s="45">
        <f>VLOOKUP($A128,'Institution Evaluation'!$A$56:$K$345,9,0)&amp;""</f>
      </c>
      <c r="J128" s="185">
        <f>VLOOKUP($A128,'Institution Evaluation'!$A$56:$K$345,10,0)&amp;""</f>
      </c>
      <c r="K128" s="48">
        <f>IF(VLOOKUP($A128,'Institution Evaluation'!$A$56:$K$345,10,0)=TRUE,'Auto Responses'!$J$3,"")</f>
      </c>
    </row>
    <row r="129" spans="1:11" ht="68" x14ac:dyDescent="0.2">
      <c r="A129" s="19" t="s">
        <v>45</v>
      </c>
      <c r="B129" s="18">
        <f>VLOOKUP($A129,Questions!$A$2:$X$333,2,0)</f>
      </c>
      <c r="C129" s="45">
        <f>VLOOKUP($A129,'Institution Evaluation'!$A$56:$K$345,3,0)&amp;""</f>
      </c>
      <c r="D129" s="45">
        <f>VLOOKUP($A129,'Institution Evaluation'!$A$56:$K$345,4,0)&amp;""</f>
      </c>
      <c r="E129" s="323">
        <f>VLOOKUP($A129,'Institution Evaluation'!$A$56:$K$345,5,0)&amp;""</f>
      </c>
      <c r="F129" s="187">
        <f>VLOOKUP($A129,'Institution Evaluation'!$A$56:$K$345,6,0)&amp;""</f>
      </c>
      <c r="G129" s="30">
        <f>VLOOKUP($A129,'Institution Evaluation'!$A$56:$K$345,7,0)&amp;""</f>
      </c>
      <c r="H129" s="184">
        <f>VLOOKUP($A129,'Institution Evaluation'!$A$56:$K$345,8,0)&amp;""</f>
      </c>
      <c r="I129" s="45">
        <f>VLOOKUP($A129,'Institution Evaluation'!$A$56:$K$345,9,0)&amp;""</f>
      </c>
      <c r="J129" s="185">
        <f>VLOOKUP($A129,'Institution Evaluation'!$A$56:$K$345,10,0)&amp;""</f>
      </c>
      <c r="K129" s="48">
        <f>IF(VLOOKUP($A129,'Institution Evaluation'!$A$56:$K$345,10,0)=TRUE,'Auto Responses'!$J$3,"")</f>
      </c>
    </row>
    <row r="130" spans="1:11" s="1" customFormat="1" ht="18" x14ac:dyDescent="0.15">
      <c r="A130" s="63">
        <f>VLOOKUP(LEFT($A131,4),'Auto Responses'!$N$4:$O$38,2,0)&amp;""</f>
        <v xml:space="preserve"> Required Questions</v>
      </c>
      <c r="B130" s="22"/>
      <c r="C130" s="31"/>
      <c r="D130" s="31"/>
      <c r="E130" s="324"/>
      <c r="F130" s="131" t="s">
        <v>1030</v>
      </c>
      <c r="G130" s="328" t="s">
        <v>869</v>
      </c>
      <c r="H130" s="328" t="s">
        <v>871</v>
      </c>
      <c r="I130" s="328" t="s">
        <v>19</v>
      </c>
      <c r="J130" s="328" t="s">
        <v>856</v>
      </c>
      <c r="K130" s="31"/>
    </row>
    <row r="131" spans="1:11" ht="68" x14ac:dyDescent="0.2">
      <c r="A131" s="19" t="s">
        <v>58</v>
      </c>
      <c r="B131" s="18">
        <f>VLOOKUP($A131,Questions!$A$2:$X$333,2,0)</f>
      </c>
      <c r="C131" s="45">
        <f>VLOOKUP($A131,'Institution Evaluation'!$A$56:$K$345,3,0)&amp;""</f>
      </c>
      <c r="D131" s="45">
        <f>VLOOKUP($A131,'Institution Evaluation'!$A$56:$K$345,4,0)&amp;""</f>
      </c>
      <c r="E131" s="323">
        <f>VLOOKUP($A131,'Institution Evaluation'!$A$56:$K$345,5,0)&amp;""</f>
      </c>
      <c r="F131" s="187">
        <f>VLOOKUP($A131,'Institution Evaluation'!$A$56:$K$345,6,0)&amp;""</f>
      </c>
      <c r="G131" s="30">
        <f>VLOOKUP($A131,'Institution Evaluation'!$A$56:$K$345,7,0)&amp;""</f>
      </c>
      <c r="H131" s="184">
        <f>VLOOKUP($A131,'Institution Evaluation'!$A$56:$K$345,8,0)&amp;""</f>
      </c>
      <c r="I131" s="45">
        <f>VLOOKUP($A131,'Institution Evaluation'!$A$56:$K$345,9,0)&amp;""</f>
      </c>
      <c r="J131" s="185">
        <f>VLOOKUP($A131,'Institution Evaluation'!$A$56:$K$345,10,0)&amp;""</f>
      </c>
      <c r="K131" s="48">
        <f>IF(VLOOKUP($A131,'Institution Evaluation'!$A$56:$K$345,10,0)=TRUE,'Auto Responses'!$J$3,"")</f>
      </c>
    </row>
    <row r="132" spans="1:11" ht="51" x14ac:dyDescent="0.2">
      <c r="A132" s="19" t="s">
        <v>61</v>
      </c>
      <c r="B132" s="18">
        <f>VLOOKUP($A132,Questions!$A$2:$X$333,2,0)</f>
      </c>
      <c r="C132" s="45">
        <f>VLOOKUP($A132,'Institution Evaluation'!$A$56:$K$345,3,0)&amp;""</f>
      </c>
      <c r="D132" s="45">
        <f>VLOOKUP($A132,'Institution Evaluation'!$A$56:$K$345,4,0)&amp;""</f>
      </c>
      <c r="E132" s="323">
        <f>VLOOKUP($A132,'Institution Evaluation'!$A$56:$K$345,5,0)&amp;""</f>
      </c>
      <c r="F132" s="187">
        <f>VLOOKUP($A132,'Institution Evaluation'!$A$56:$K$345,6,0)&amp;""</f>
      </c>
      <c r="G132" s="30">
        <f>VLOOKUP($A132,'Institution Evaluation'!$A$56:$K$345,7,0)&amp;""</f>
      </c>
      <c r="H132" s="184">
        <f>VLOOKUP($A132,'Institution Evaluation'!$A$56:$K$345,8,0)&amp;""</f>
      </c>
      <c r="I132" s="45">
        <f>VLOOKUP($A132,'Institution Evaluation'!$A$56:$K$345,9,0)&amp;""</f>
      </c>
      <c r="J132" s="185">
        <f>VLOOKUP($A132,'Institution Evaluation'!$A$56:$K$345,10,0)&amp;""</f>
      </c>
      <c r="K132" s="48">
        <f>IF(VLOOKUP($A132,'Institution Evaluation'!$A$56:$K$345,10,0)=TRUE,'Auto Responses'!$J$3,"")</f>
      </c>
    </row>
    <row r="133" spans="1:11" ht="119" x14ac:dyDescent="0.2">
      <c r="A133" s="19" t="s">
        <v>64</v>
      </c>
      <c r="B133" s="18">
        <f>VLOOKUP($A133,Questions!$A$2:$X$333,2,0)</f>
      </c>
      <c r="C133" s="45">
        <f>VLOOKUP($A133,'Institution Evaluation'!$A$56:$K$345,3,0)&amp;""</f>
      </c>
      <c r="D133" s="45">
        <f>VLOOKUP($A133,'Institution Evaluation'!$A$56:$K$345,4,0)&amp;""</f>
      </c>
      <c r="E133" s="323">
        <f>VLOOKUP($A133,'Institution Evaluation'!$A$56:$K$345,5,0)&amp;""</f>
      </c>
      <c r="F133" s="187">
        <f>VLOOKUP($A133,'Institution Evaluation'!$A$56:$K$345,6,0)&amp;""</f>
      </c>
      <c r="G133" s="30">
        <f>VLOOKUP($A133,'Institution Evaluation'!$A$56:$K$345,7,0)&amp;""</f>
      </c>
      <c r="H133" s="184">
        <f>VLOOKUP($A133,'Institution Evaluation'!$A$56:$K$345,8,0)&amp;""</f>
      </c>
      <c r="I133" s="45">
        <f>VLOOKUP($A133,'Institution Evaluation'!$A$56:$K$345,9,0)&amp;""</f>
      </c>
      <c r="J133" s="185">
        <f>VLOOKUP($A133,'Institution Evaluation'!$A$56:$K$345,10,0)&amp;""</f>
      </c>
      <c r="K133" s="48">
        <f>IF(VLOOKUP($A133,'Institution Evaluation'!$A$56:$K$345,10,0)=TRUE,'Auto Responses'!$J$3,"")</f>
      </c>
    </row>
    <row r="134" spans="1:11" ht="51" x14ac:dyDescent="0.2">
      <c r="A134" s="19" t="s">
        <v>968</v>
      </c>
      <c r="B134" s="18">
        <f>VLOOKUP($A134,Questions!$A$2:$X$333,2,0)</f>
      </c>
      <c r="C134" s="45">
        <f>VLOOKUP($A134,'Institution Evaluation'!$A$56:$K$345,3,0)&amp;""</f>
      </c>
      <c r="D134" s="45">
        <f>VLOOKUP($A134,'Institution Evaluation'!$A$56:$K$345,4,0)&amp;""</f>
      </c>
      <c r="E134" s="323">
        <f>VLOOKUP($A134,'Institution Evaluation'!$A$56:$K$345,5,0)&amp;""</f>
      </c>
      <c r="F134" s="187">
        <f>VLOOKUP($A134,'Institution Evaluation'!$A$56:$K$345,6,0)&amp;""</f>
      </c>
      <c r="G134" s="30">
        <f>VLOOKUP($A134,'Institution Evaluation'!$A$56:$K$345,7,0)&amp;""</f>
      </c>
      <c r="H134" s="184">
        <f>VLOOKUP($A134,'Institution Evaluation'!$A$56:$K$345,8,0)&amp;""</f>
      </c>
      <c r="I134" s="45">
        <f>VLOOKUP($A134,'Institution Evaluation'!$A$56:$K$345,9,0)&amp;""</f>
      </c>
      <c r="J134" s="185">
        <f>VLOOKUP($A134,'Institution Evaluation'!$A$56:$K$345,10,0)&amp;""</f>
      </c>
      <c r="K134" s="48">
        <f>IF(VLOOKUP($A134,'Institution Evaluation'!$A$56:$K$345,10,0)=TRUE,'Auto Responses'!$J$3,"")</f>
      </c>
    </row>
    <row r="135" spans="1:11" s="1" customFormat="1" ht="18" x14ac:dyDescent="0.15">
      <c r="A135" s="63">
        <f>VLOOKUP(LEFT($A136,4),'Auto Responses'!$N$4:$O$38,2,0)&amp;""</f>
        <v xml:space="preserve"> Documentation</v>
      </c>
      <c r="B135" s="22"/>
      <c r="C135" s="31"/>
      <c r="D135" s="31"/>
      <c r="E135" s="324"/>
      <c r="F135" s="131" t="s">
        <v>1030</v>
      </c>
      <c r="G135" s="328" t="s">
        <v>869</v>
      </c>
      <c r="H135" s="328" t="s">
        <v>871</v>
      </c>
      <c r="I135" s="328" t="s">
        <v>19</v>
      </c>
      <c r="J135" s="328" t="s">
        <v>856</v>
      </c>
      <c r="K135" s="31"/>
    </row>
    <row r="136" spans="1:11" ht="51" x14ac:dyDescent="0.2">
      <c r="A136" s="19" t="s">
        <v>70</v>
      </c>
      <c r="B136" s="18">
        <f>VLOOKUP($A136,Questions!$A$2:$X$333,2,0)</f>
      </c>
      <c r="C136" s="45">
        <f>VLOOKUP($A136,'Institution Evaluation'!$A$56:$K$345,3,0)&amp;""</f>
      </c>
      <c r="D136" s="45">
        <f>VLOOKUP($A136,'Institution Evaluation'!$A$56:$K$345,4,0)&amp;""</f>
      </c>
      <c r="E136" s="323">
        <f>VLOOKUP($A136,'Institution Evaluation'!$A$56:$K$345,5,0)&amp;""</f>
      </c>
      <c r="F136" s="187">
        <f>VLOOKUP($A136,'Institution Evaluation'!$A$56:$K$345,6,0)&amp;""</f>
      </c>
      <c r="G136" s="30">
        <f>VLOOKUP($A136,'Institution Evaluation'!$A$56:$K$345,7,0)&amp;""</f>
      </c>
      <c r="H136" s="184">
        <f>VLOOKUP($A136,'Institution Evaluation'!$A$56:$K$345,8,0)&amp;""</f>
      </c>
      <c r="I136" s="45">
        <f>VLOOKUP($A136,'Institution Evaluation'!$A$56:$K$345,9,0)&amp;""</f>
      </c>
      <c r="J136" s="185">
        <f>VLOOKUP($A136,'Institution Evaluation'!$A$56:$K$345,10,0)&amp;""</f>
      </c>
      <c r="K136" s="48">
        <f>IF(VLOOKUP($A136,'Institution Evaluation'!$A$56:$K$345,10,0)=TRUE,'Auto Responses'!$J$3,"")</f>
      </c>
    </row>
    <row r="137" spans="1:11" ht="68" x14ac:dyDescent="0.2">
      <c r="A137" s="19" t="s">
        <v>77</v>
      </c>
      <c r="B137" s="18">
        <f>VLOOKUP($A137,Questions!$A$2:$X$333,2,0)</f>
      </c>
      <c r="C137" s="45">
        <f>VLOOKUP($A137,'Institution Evaluation'!$A$56:$K$345,3,0)&amp;""</f>
      </c>
      <c r="D137" s="45">
        <f>VLOOKUP($A137,'Institution Evaluation'!$A$56:$K$345,4,0)&amp;""</f>
      </c>
      <c r="E137" s="323">
        <f>VLOOKUP($A137,'Institution Evaluation'!$A$56:$K$345,5,0)&amp;""</f>
      </c>
      <c r="F137" s="187">
        <f>VLOOKUP($A137,'Institution Evaluation'!$A$56:$K$345,6,0)&amp;""</f>
      </c>
      <c r="G137" s="30">
        <f>VLOOKUP($A137,'Institution Evaluation'!$A$56:$K$345,7,0)&amp;""</f>
      </c>
      <c r="H137" s="184">
        <f>VLOOKUP($A137,'Institution Evaluation'!$A$56:$K$345,8,0)&amp;""</f>
      </c>
      <c r="I137" s="45">
        <f>VLOOKUP($A137,'Institution Evaluation'!$A$56:$K$345,9,0)&amp;""</f>
      </c>
      <c r="J137" s="185">
        <f>VLOOKUP($A137,'Institution Evaluation'!$A$56:$K$345,10,0)&amp;""</f>
      </c>
      <c r="K137" s="48">
        <f>IF(VLOOKUP($A137,'Institution Evaluation'!$A$56:$K$345,10,0)=TRUE,'Auto Responses'!$J$3,"")</f>
      </c>
    </row>
    <row r="138" spans="1:11" ht="51" x14ac:dyDescent="0.2">
      <c r="A138" s="19" t="s">
        <v>80</v>
      </c>
      <c r="B138" s="18">
        <f>VLOOKUP($A138,Questions!$A$2:$X$333,2,0)</f>
      </c>
      <c r="C138" s="45">
        <f>VLOOKUP($A138,'Institution Evaluation'!$A$56:$K$345,3,0)&amp;""</f>
      </c>
      <c r="D138" s="45">
        <f>VLOOKUP($A138,'Institution Evaluation'!$A$56:$K$345,4,0)&amp;""</f>
      </c>
      <c r="E138" s="323">
        <f>VLOOKUP($A138,'Institution Evaluation'!$A$56:$K$345,5,0)&amp;""</f>
      </c>
      <c r="F138" s="187">
        <f>VLOOKUP($A138,'Institution Evaluation'!$A$56:$K$345,6,0)&amp;""</f>
      </c>
      <c r="G138" s="30">
        <f>VLOOKUP($A138,'Institution Evaluation'!$A$56:$K$345,7,0)&amp;""</f>
      </c>
      <c r="H138" s="184">
        <f>VLOOKUP($A138,'Institution Evaluation'!$A$56:$K$345,8,0)&amp;""</f>
      </c>
      <c r="I138" s="45">
        <f>VLOOKUP($A138,'Institution Evaluation'!$A$56:$K$345,9,0)&amp;""</f>
      </c>
      <c r="J138" s="185">
        <f>VLOOKUP($A138,'Institution Evaluation'!$A$56:$K$345,10,0)&amp;""</f>
      </c>
      <c r="K138" s="48">
        <f>IF(VLOOKUP($A138,'Institution Evaluation'!$A$56:$K$345,10,0)=TRUE,'Auto Responses'!$J$3,"")</f>
      </c>
    </row>
    <row r="139" spans="1:11" ht="51" x14ac:dyDescent="0.2">
      <c r="A139" s="19" t="s">
        <v>84</v>
      </c>
      <c r="B139" s="18">
        <f>VLOOKUP($A139,Questions!$A$2:$X$333,2,0)</f>
      </c>
      <c r="C139" s="45">
        <f>VLOOKUP($A139,'Institution Evaluation'!$A$56:$K$345,3,0)&amp;""</f>
      </c>
      <c r="D139" s="45">
        <f>VLOOKUP($A139,'Institution Evaluation'!$A$56:$K$345,4,0)&amp;""</f>
      </c>
      <c r="E139" s="323">
        <f>VLOOKUP($A139,'Institution Evaluation'!$A$56:$K$345,5,0)&amp;""</f>
      </c>
      <c r="F139" s="187">
        <f>VLOOKUP($A139,'Institution Evaluation'!$A$56:$K$345,6,0)&amp;""</f>
      </c>
      <c r="G139" s="30">
        <f>VLOOKUP($A139,'Institution Evaluation'!$A$56:$K$345,7,0)&amp;""</f>
      </c>
      <c r="H139" s="184">
        <f>VLOOKUP($A139,'Institution Evaluation'!$A$56:$K$345,8,0)&amp;""</f>
      </c>
      <c r="I139" s="45">
        <f>VLOOKUP($A139,'Institution Evaluation'!$A$56:$K$345,9,0)&amp;""</f>
      </c>
      <c r="J139" s="185">
        <f>VLOOKUP($A139,'Institution Evaluation'!$A$56:$K$345,10,0)&amp;""</f>
      </c>
      <c r="K139" s="48">
        <f>IF(VLOOKUP($A139,'Institution Evaluation'!$A$56:$K$345,10,0)=TRUE,'Auto Responses'!$J$3,"")</f>
      </c>
    </row>
    <row r="140" spans="1:11" ht="85" x14ac:dyDescent="0.2">
      <c r="A140" s="19" t="s">
        <v>88</v>
      </c>
      <c r="B140" s="18">
        <f>VLOOKUP($A140,Questions!$A$2:$X$333,2,0)</f>
      </c>
      <c r="C140" s="45">
        <f>VLOOKUP($A140,'Institution Evaluation'!$A$56:$K$345,3,0)&amp;""</f>
      </c>
      <c r="D140" s="45">
        <f>VLOOKUP($A140,'Institution Evaluation'!$A$56:$K$345,4,0)&amp;""</f>
      </c>
      <c r="E140" s="323">
        <f>VLOOKUP($A140,'Institution Evaluation'!$A$56:$K$345,5,0)&amp;""</f>
      </c>
      <c r="F140" s="187">
        <f>VLOOKUP($A140,'Institution Evaluation'!$A$56:$K$345,6,0)&amp;""</f>
      </c>
      <c r="G140" s="30">
        <f>VLOOKUP($A140,'Institution Evaluation'!$A$56:$K$345,7,0)&amp;""</f>
      </c>
      <c r="H140" s="184">
        <f>VLOOKUP($A140,'Institution Evaluation'!$A$56:$K$345,8,0)&amp;""</f>
      </c>
      <c r="I140" s="45">
        <f>VLOOKUP($A140,'Institution Evaluation'!$A$56:$K$345,9,0)&amp;""</f>
      </c>
      <c r="J140" s="185">
        <f>VLOOKUP($A140,'Institution Evaluation'!$A$56:$K$345,10,0)&amp;""</f>
      </c>
      <c r="K140" s="48">
        <f>IF(VLOOKUP($A140,'Institution Evaluation'!$A$56:$K$345,10,0)=TRUE,'Auto Responses'!$J$3,"")</f>
      </c>
    </row>
    <row r="141" spans="1:11" ht="51" x14ac:dyDescent="0.2">
      <c r="A141" s="19" t="s">
        <v>92</v>
      </c>
      <c r="B141" s="18">
        <f>VLOOKUP($A141,Questions!$A$2:$X$333,2,0)</f>
      </c>
      <c r="C141" s="45">
        <f>VLOOKUP($A141,'Institution Evaluation'!$A$56:$K$345,3,0)&amp;""</f>
      </c>
      <c r="D141" s="45">
        <f>VLOOKUP($A141,'Institution Evaluation'!$A$56:$K$345,4,0)&amp;""</f>
      </c>
      <c r="E141" s="323">
        <f>VLOOKUP($A141,'Institution Evaluation'!$A$56:$K$345,5,0)&amp;""</f>
      </c>
      <c r="F141" s="187">
        <f>VLOOKUP($A141,'Institution Evaluation'!$A$56:$K$345,6,0)&amp;""</f>
      </c>
      <c r="G141" s="30">
        <f>VLOOKUP($A141,'Institution Evaluation'!$A$56:$K$345,7,0)&amp;""</f>
      </c>
      <c r="H141" s="184">
        <f>VLOOKUP($A141,'Institution Evaluation'!$A$56:$K$345,8,0)&amp;""</f>
      </c>
      <c r="I141" s="45">
        <f>VLOOKUP($A141,'Institution Evaluation'!$A$56:$K$345,9,0)&amp;""</f>
      </c>
      <c r="J141" s="185">
        <f>VLOOKUP($A141,'Institution Evaluation'!$A$56:$K$345,10,0)&amp;""</f>
      </c>
      <c r="K141" s="48">
        <f>IF(VLOOKUP($A141,'Institution Evaluation'!$A$56:$K$345,10,0)=TRUE,'Auto Responses'!$J$3,"")</f>
      </c>
    </row>
    <row r="142" spans="1:11" s="1" customFormat="1" ht="18" x14ac:dyDescent="0.15">
      <c r="A142" s="63">
        <f>VLOOKUP(LEFT($A143,4),'Auto Responses'!$N$4:$O$38,2,0)&amp;""</f>
        <v xml:space="preserve"> IT Accessibility</v>
      </c>
      <c r="B142" s="22"/>
      <c r="C142" s="31"/>
      <c r="D142" s="31"/>
      <c r="E142" s="324"/>
      <c r="F142" s="131" t="s">
        <v>1030</v>
      </c>
      <c r="G142" s="328" t="s">
        <v>869</v>
      </c>
      <c r="H142" s="328" t="s">
        <v>871</v>
      </c>
      <c r="I142" s="328" t="s">
        <v>19</v>
      </c>
      <c r="J142" s="328" t="s">
        <v>856</v>
      </c>
      <c r="K142" s="31"/>
    </row>
    <row r="143" spans="1:11" ht="68" x14ac:dyDescent="0.2">
      <c r="A143" s="19" t="s">
        <v>97</v>
      </c>
      <c r="B143" s="18">
        <f>VLOOKUP($A143,Questions!$A$2:$X$333,2,0)</f>
      </c>
      <c r="C143" s="45">
        <f>VLOOKUP($A143,'Institution Evaluation'!$A$56:$K$345,3,0)&amp;""</f>
      </c>
      <c r="D143" s="45">
        <f>VLOOKUP($A143,'Institution Evaluation'!$A$56:$K$345,4,0)&amp;""</f>
      </c>
      <c r="E143" s="323">
        <f>VLOOKUP($A143,'Institution Evaluation'!$A$56:$K$345,5,0)&amp;""</f>
      </c>
      <c r="F143" s="187">
        <f>VLOOKUP($A143,'Institution Evaluation'!$A$56:$K$345,6,0)&amp;""</f>
      </c>
      <c r="G143" s="30">
        <f>VLOOKUP($A143,'Institution Evaluation'!$A$56:$K$345,7,0)&amp;""</f>
      </c>
      <c r="H143" s="184">
        <f>VLOOKUP($A143,'Institution Evaluation'!$A$56:$K$345,8,0)&amp;""</f>
      </c>
      <c r="I143" s="45">
        <f>VLOOKUP($A143,'Institution Evaluation'!$A$56:$K$345,9,0)&amp;""</f>
      </c>
      <c r="J143" s="185">
        <f>VLOOKUP($A143,'Institution Evaluation'!$A$56:$K$345,10,0)&amp;""</f>
      </c>
      <c r="K143" s="48">
        <f>IF(VLOOKUP($A143,'Institution Evaluation'!$A$56:$K$345,10,0)=TRUE,'Auto Responses'!$J$3,"")</f>
      </c>
    </row>
    <row r="144" spans="1:11" ht="45" x14ac:dyDescent="0.2">
      <c r="A144" s="19" t="s">
        <v>103</v>
      </c>
      <c r="B144" s="18">
        <f>VLOOKUP($A144,Questions!$A$2:$X$333,2,0)</f>
      </c>
      <c r="C144" s="45">
        <f>VLOOKUP($A144,'Institution Evaluation'!$A$56:$K$345,3,0)&amp;""</f>
      </c>
      <c r="D144" s="45">
        <f>VLOOKUP($A144,'Institution Evaluation'!$A$56:$K$345,4,0)&amp;""</f>
      </c>
      <c r="E144" s="323">
        <f>VLOOKUP($A144,'Institution Evaluation'!$A$56:$K$345,5,0)&amp;""</f>
      </c>
      <c r="F144" s="187">
        <f>VLOOKUP($A144,'Institution Evaluation'!$A$56:$K$345,6,0)&amp;""</f>
      </c>
      <c r="G144" s="30">
        <f>VLOOKUP($A144,'Institution Evaluation'!$A$56:$K$345,7,0)&amp;""</f>
      </c>
      <c r="H144" s="184">
        <f>VLOOKUP($A144,'Institution Evaluation'!$A$56:$K$345,8,0)&amp;""</f>
      </c>
      <c r="I144" s="45">
        <f>VLOOKUP($A144,'Institution Evaluation'!$A$56:$K$345,9,0)&amp;""</f>
      </c>
      <c r="J144" s="185">
        <f>VLOOKUP($A144,'Institution Evaluation'!$A$56:$K$345,10,0)&amp;""</f>
      </c>
      <c r="K144" s="48">
        <f>IF(VLOOKUP($A144,'Institution Evaluation'!$A$56:$K$345,10,0)=TRUE,'Auto Responses'!$J$3,"")</f>
      </c>
    </row>
    <row r="145" spans="1:11" s="1" customFormat="1" ht="18" x14ac:dyDescent="0.15">
      <c r="A145" s="63">
        <f>VLOOKUP(LEFT($A146,4),'Auto Responses'!$N$4:$O$38,2,0)&amp;""</f>
        <v xml:space="preserve"> Assessment of Third Parties</v>
      </c>
      <c r="B145" s="22"/>
      <c r="C145" s="31"/>
      <c r="D145" s="31"/>
      <c r="E145" s="324"/>
      <c r="F145" s="131" t="s">
        <v>1030</v>
      </c>
      <c r="G145" s="328" t="s">
        <v>869</v>
      </c>
      <c r="H145" s="328" t="s">
        <v>871</v>
      </c>
      <c r="I145" s="328" t="s">
        <v>19</v>
      </c>
      <c r="J145" s="328" t="s">
        <v>856</v>
      </c>
      <c r="K145" s="31"/>
    </row>
    <row r="146" spans="1:11" ht="136" x14ac:dyDescent="0.2">
      <c r="A146" s="19" t="s">
        <v>130</v>
      </c>
      <c r="B146" s="18">
        <f>VLOOKUP($A146,Questions!$A$2:$X$333,2,0)</f>
      </c>
      <c r="C146" s="45">
        <f>VLOOKUP($A146,'Institution Evaluation'!$A$56:$K$345,3,0)&amp;""</f>
      </c>
      <c r="D146" s="45">
        <f>VLOOKUP($A146,'Institution Evaluation'!$A$56:$K$345,4,0)&amp;""</f>
      </c>
      <c r="E146" s="323">
        <f>VLOOKUP($A146,'Institution Evaluation'!$A$56:$K$345,5,0)&amp;""</f>
      </c>
      <c r="F146" s="187">
        <f>VLOOKUP($A146,'Institution Evaluation'!$A$56:$K$345,6,0)&amp;""</f>
      </c>
      <c r="G146" s="30">
        <f>VLOOKUP($A146,'Institution Evaluation'!$A$56:$K$345,7,0)&amp;""</f>
      </c>
      <c r="H146" s="184">
        <f>VLOOKUP($A146,'Institution Evaluation'!$A$56:$K$345,8,0)&amp;""</f>
      </c>
      <c r="I146" s="45">
        <f>VLOOKUP($A146,'Institution Evaluation'!$A$56:$K$345,9,0)&amp;""</f>
      </c>
      <c r="J146" s="185">
        <f>VLOOKUP($A146,'Institution Evaluation'!$A$56:$K$345,10,0)&amp;""</f>
      </c>
      <c r="K146" s="48">
        <f>IF(VLOOKUP($A146,'Institution Evaluation'!$A$56:$K$345,10,0)=TRUE,'Auto Responses'!$J$3,"")</f>
      </c>
    </row>
    <row r="147" spans="1:11" ht="409.6" x14ac:dyDescent="0.2">
      <c r="A147" s="19" t="s">
        <v>134</v>
      </c>
      <c r="B147" s="18">
        <f>VLOOKUP($A147,Questions!$A$2:$X$333,2,0)</f>
      </c>
      <c r="C147" s="45">
        <f>VLOOKUP($A147,'Institution Evaluation'!$A$56:$K$345,3,0)&amp;""</f>
      </c>
      <c r="D147" s="45">
        <f>VLOOKUP($A147,'Institution Evaluation'!$A$56:$K$345,4,0)&amp;""</f>
      </c>
      <c r="E147" s="323">
        <f>VLOOKUP($A147,'Institution Evaluation'!$A$56:$K$345,5,0)&amp;""</f>
      </c>
      <c r="F147" s="187">
        <f>VLOOKUP($A147,'Institution Evaluation'!$A$56:$K$345,6,0)&amp;""</f>
      </c>
      <c r="G147" s="30">
        <f>VLOOKUP($A147,'Institution Evaluation'!$A$56:$K$345,7,0)&amp;""</f>
      </c>
      <c r="H147" s="184">
        <f>VLOOKUP($A147,'Institution Evaluation'!$A$56:$K$345,8,0)&amp;""</f>
      </c>
      <c r="I147" s="45">
        <f>VLOOKUP($A147,'Institution Evaluation'!$A$56:$K$345,9,0)&amp;""</f>
      </c>
      <c r="J147" s="185">
        <f>VLOOKUP($A147,'Institution Evaluation'!$A$56:$K$345,10,0)&amp;""</f>
      </c>
      <c r="K147" s="48">
        <f>IF(VLOOKUP($A147,'Institution Evaluation'!$A$56:$K$345,10,0)=TRUE,'Auto Responses'!$J$3,"")</f>
      </c>
    </row>
    <row r="148" spans="1:11" ht="85" x14ac:dyDescent="0.2">
      <c r="A148" s="19" t="s">
        <v>136</v>
      </c>
      <c r="B148" s="18">
        <f>VLOOKUP($A148,Questions!$A$2:$X$333,2,0)</f>
      </c>
      <c r="C148" s="45">
        <f>VLOOKUP($A148,'Institution Evaluation'!$A$56:$K$345,3,0)&amp;""</f>
      </c>
      <c r="D148" s="45">
        <f>VLOOKUP($A148,'Institution Evaluation'!$A$56:$K$345,4,0)&amp;""</f>
      </c>
      <c r="E148" s="323">
        <f>VLOOKUP($A148,'Institution Evaluation'!$A$56:$K$345,5,0)&amp;""</f>
      </c>
      <c r="F148" s="187">
        <f>VLOOKUP($A148,'Institution Evaluation'!$A$56:$K$345,6,0)&amp;""</f>
      </c>
      <c r="G148" s="30">
        <f>VLOOKUP($A148,'Institution Evaluation'!$A$56:$K$345,7,0)&amp;""</f>
      </c>
      <c r="H148" s="184">
        <f>VLOOKUP($A148,'Institution Evaluation'!$A$56:$K$345,8,0)&amp;""</f>
      </c>
      <c r="I148" s="45">
        <f>VLOOKUP($A148,'Institution Evaluation'!$A$56:$K$345,9,0)&amp;""</f>
      </c>
      <c r="J148" s="185">
        <f>VLOOKUP($A148,'Institution Evaluation'!$A$56:$K$345,10,0)&amp;""</f>
      </c>
      <c r="K148" s="48">
        <f>IF(VLOOKUP($A148,'Institution Evaluation'!$A$56:$K$345,10,0)=TRUE,'Auto Responses'!$J$3,"")</f>
      </c>
    </row>
    <row r="149" spans="1:11" ht="51" x14ac:dyDescent="0.2">
      <c r="A149" s="19" t="s">
        <v>137</v>
      </c>
      <c r="B149" s="18">
        <f>VLOOKUP($A149,Questions!$A$2:$X$333,2,0)</f>
      </c>
      <c r="C149" s="45">
        <f>VLOOKUP($A149,'Institution Evaluation'!$A$56:$K$345,3,0)&amp;""</f>
      </c>
      <c r="D149" s="45">
        <f>VLOOKUP($A149,'Institution Evaluation'!$A$56:$K$345,4,0)&amp;""</f>
      </c>
      <c r="E149" s="323">
        <f>VLOOKUP($A149,'Institution Evaluation'!$A$56:$K$345,5,0)&amp;""</f>
      </c>
      <c r="F149" s="187">
        <f>VLOOKUP($A149,'Institution Evaluation'!$A$56:$K$345,6,0)&amp;""</f>
      </c>
      <c r="G149" s="30">
        <f>VLOOKUP($A149,'Institution Evaluation'!$A$56:$K$345,7,0)&amp;""</f>
      </c>
      <c r="H149" s="184">
        <f>VLOOKUP($A149,'Institution Evaluation'!$A$56:$K$345,8,0)&amp;""</f>
      </c>
      <c r="I149" s="45">
        <f>VLOOKUP($A149,'Institution Evaluation'!$A$56:$K$345,9,0)&amp;""</f>
      </c>
      <c r="J149" s="185">
        <f>VLOOKUP($A149,'Institution Evaluation'!$A$56:$K$345,10,0)&amp;""</f>
      </c>
      <c r="K149" s="48">
        <f>IF(VLOOKUP($A149,'Institution Evaluation'!$A$56:$K$345,10,0)=TRUE,'Auto Responses'!$J$3,"")</f>
      </c>
    </row>
    <row r="150" spans="1:11" s="1" customFormat="1" ht="18" x14ac:dyDescent="0.15">
      <c r="A150" s="63">
        <f>VLOOKUP(LEFT($A151,4),'Auto Responses'!$N$4:$O$38,2,0)&amp;""</f>
        <v xml:space="preserve"> Consulting Services</v>
      </c>
      <c r="B150" s="22"/>
      <c r="C150" s="31"/>
      <c r="D150" s="31"/>
      <c r="E150" s="324"/>
      <c r="F150" s="131" t="s">
        <v>1030</v>
      </c>
      <c r="G150" s="328" t="s">
        <v>869</v>
      </c>
      <c r="H150" s="328" t="s">
        <v>871</v>
      </c>
      <c r="I150" s="328" t="s">
        <v>19</v>
      </c>
      <c r="J150" s="328" t="s">
        <v>856</v>
      </c>
      <c r="K150" s="31"/>
    </row>
    <row r="151" spans="1:11" ht="68" x14ac:dyDescent="0.2">
      <c r="A151" s="19" t="s">
        <v>145</v>
      </c>
      <c r="B151" s="18">
        <f>VLOOKUP($A151,Questions!$A$2:$X$333,2,0)</f>
      </c>
      <c r="C151" s="45">
        <f>VLOOKUP($A151,'Institution Evaluation'!$A$56:$K$345,3,0)&amp;""</f>
      </c>
      <c r="D151" s="45">
        <f>VLOOKUP($A151,'Institution Evaluation'!$A$56:$K$345,4,0)&amp;""</f>
      </c>
      <c r="E151" s="323">
        <f>VLOOKUP($A151,'Institution Evaluation'!$A$56:$K$345,5,0)&amp;""</f>
      </c>
      <c r="F151" s="187">
        <f>VLOOKUP($A151,'Institution Evaluation'!$A$56:$K$345,6,0)&amp;""</f>
      </c>
      <c r="G151" s="30">
        <f>VLOOKUP($A151,'Institution Evaluation'!$A$56:$K$345,7,0)&amp;""</f>
      </c>
      <c r="H151" s="184">
        <f>VLOOKUP($A151,'Institution Evaluation'!$A$56:$K$345,8,0)&amp;""</f>
      </c>
      <c r="I151" s="45">
        <f>VLOOKUP($A151,'Institution Evaluation'!$A$56:$K$345,9,0)&amp;""</f>
      </c>
      <c r="J151" s="185">
        <f>VLOOKUP($A151,'Institution Evaluation'!$A$56:$K$345,10,0)&amp;""</f>
      </c>
      <c r="K151" s="48">
        <f>IF(VLOOKUP($A151,'Institution Evaluation'!$A$56:$K$345,10,0)=TRUE,'Auto Responses'!$J$3,"")</f>
      </c>
    </row>
    <row r="152" spans="1:11" ht="68" x14ac:dyDescent="0.2">
      <c r="A152" s="19" t="s">
        <v>149</v>
      </c>
      <c r="B152" s="18">
        <f>VLOOKUP($A152,Questions!$A$2:$X$333,2,0)</f>
      </c>
      <c r="C152" s="45">
        <f>VLOOKUP($A152,'Institution Evaluation'!$A$56:$K$345,3,0)&amp;""</f>
      </c>
      <c r="D152" s="45">
        <f>VLOOKUP($A152,'Institution Evaluation'!$A$56:$K$345,4,0)&amp;""</f>
      </c>
      <c r="E152" s="323">
        <f>VLOOKUP($A152,'Institution Evaluation'!$A$56:$K$345,5,0)&amp;""</f>
      </c>
      <c r="F152" s="187">
        <f>VLOOKUP($A152,'Institution Evaluation'!$A$56:$K$345,6,0)&amp;""</f>
      </c>
      <c r="G152" s="30">
        <f>VLOOKUP($A152,'Institution Evaluation'!$A$56:$K$345,7,0)&amp;""</f>
      </c>
      <c r="H152" s="184">
        <f>VLOOKUP($A152,'Institution Evaluation'!$A$56:$K$345,8,0)&amp;""</f>
      </c>
      <c r="I152" s="45">
        <f>VLOOKUP($A152,'Institution Evaluation'!$A$56:$K$345,9,0)&amp;""</f>
      </c>
      <c r="J152" s="185">
        <f>VLOOKUP($A152,'Institution Evaluation'!$A$56:$K$345,10,0)&amp;""</f>
      </c>
      <c r="K152" s="48">
        <f>IF(VLOOKUP($A152,'Institution Evaluation'!$A$56:$K$345,10,0)=TRUE,'Auto Responses'!$J$3,"")</f>
      </c>
    </row>
    <row r="153" spans="1:11" ht="68" x14ac:dyDescent="0.2">
      <c r="A153" s="19" t="s">
        <v>150</v>
      </c>
      <c r="B153" s="18">
        <f>VLOOKUP($A153,Questions!$A$2:$X$333,2,0)</f>
      </c>
      <c r="C153" s="45">
        <f>VLOOKUP($A153,'Institution Evaluation'!$A$56:$K$345,3,0)&amp;""</f>
      </c>
      <c r="D153" s="45">
        <f>VLOOKUP($A153,'Institution Evaluation'!$A$56:$K$345,4,0)&amp;""</f>
      </c>
      <c r="E153" s="323">
        <f>VLOOKUP($A153,'Institution Evaluation'!$A$56:$K$345,5,0)&amp;""</f>
      </c>
      <c r="F153" s="187">
        <f>VLOOKUP($A153,'Institution Evaluation'!$A$56:$K$345,6,0)&amp;""</f>
      </c>
      <c r="G153" s="30">
        <f>VLOOKUP($A153,'Institution Evaluation'!$A$56:$K$345,7,0)&amp;""</f>
      </c>
      <c r="H153" s="184">
        <f>VLOOKUP($A153,'Institution Evaluation'!$A$56:$K$345,8,0)&amp;""</f>
      </c>
      <c r="I153" s="45">
        <f>VLOOKUP($A153,'Institution Evaluation'!$A$56:$K$345,9,0)&amp;""</f>
      </c>
      <c r="J153" s="185">
        <f>VLOOKUP($A153,'Institution Evaluation'!$A$56:$K$345,10,0)&amp;""</f>
      </c>
      <c r="K153" s="48">
        <f>IF(VLOOKUP($A153,'Institution Evaluation'!$A$56:$K$345,10,0)=TRUE,'Auto Responses'!$J$3,"")</f>
      </c>
    </row>
    <row r="154" spans="1:11" ht="68" x14ac:dyDescent="0.2">
      <c r="A154" s="19" t="s">
        <v>152</v>
      </c>
      <c r="B154" s="18">
        <f>VLOOKUP($A154,Questions!$A$2:$X$333,2,0)</f>
      </c>
      <c r="C154" s="45">
        <f>VLOOKUP($A154,'Institution Evaluation'!$A$56:$K$345,3,0)&amp;""</f>
      </c>
      <c r="D154" s="45">
        <f>VLOOKUP($A154,'Institution Evaluation'!$A$56:$K$345,4,0)&amp;""</f>
      </c>
      <c r="E154" s="323">
        <f>VLOOKUP($A154,'Institution Evaluation'!$A$56:$K$345,5,0)&amp;""</f>
      </c>
      <c r="F154" s="187">
        <f>VLOOKUP($A154,'Institution Evaluation'!$A$56:$K$345,6,0)&amp;""</f>
      </c>
      <c r="G154" s="30">
        <f>VLOOKUP($A154,'Institution Evaluation'!$A$56:$K$345,7,0)&amp;""</f>
      </c>
      <c r="H154" s="184">
        <f>VLOOKUP($A154,'Institution Evaluation'!$A$56:$K$345,8,0)&amp;""</f>
      </c>
      <c r="I154" s="45">
        <f>VLOOKUP($A154,'Institution Evaluation'!$A$56:$K$345,9,0)&amp;""</f>
      </c>
      <c r="J154" s="185">
        <f>VLOOKUP($A154,'Institution Evaluation'!$A$56:$K$345,10,0)&amp;""</f>
      </c>
      <c r="K154" s="48">
        <f>IF(VLOOKUP($A154,'Institution Evaluation'!$A$56:$K$345,10,0)=TRUE,'Auto Responses'!$J$3,"")</f>
      </c>
    </row>
    <row r="155" spans="1:11" ht="68" x14ac:dyDescent="0.2">
      <c r="A155" s="19" t="s">
        <v>154</v>
      </c>
      <c r="B155" s="18">
        <f>VLOOKUP($A155,Questions!$A$2:$X$333,2,0)</f>
      </c>
      <c r="C155" s="45">
        <f>VLOOKUP($A155,'Institution Evaluation'!$A$56:$K$345,3,0)&amp;""</f>
      </c>
      <c r="D155" s="45">
        <f>VLOOKUP($A155,'Institution Evaluation'!$A$56:$K$345,4,0)&amp;""</f>
      </c>
      <c r="E155" s="323">
        <f>VLOOKUP($A155,'Institution Evaluation'!$A$56:$K$345,5,0)&amp;""</f>
      </c>
      <c r="F155" s="187">
        <f>VLOOKUP($A155,'Institution Evaluation'!$A$56:$K$345,6,0)&amp;""</f>
      </c>
      <c r="G155" s="30">
        <f>VLOOKUP($A155,'Institution Evaluation'!$A$56:$K$345,7,0)&amp;""</f>
      </c>
      <c r="H155" s="184">
        <f>VLOOKUP($A155,'Institution Evaluation'!$A$56:$K$345,8,0)&amp;""</f>
      </c>
      <c r="I155" s="45">
        <f>VLOOKUP($A155,'Institution Evaluation'!$A$56:$K$345,9,0)&amp;""</f>
      </c>
      <c r="J155" s="185">
        <f>VLOOKUP($A155,'Institution Evaluation'!$A$56:$K$345,10,0)&amp;""</f>
      </c>
      <c r="K155" s="48">
        <f>IF(VLOOKUP($A155,'Institution Evaluation'!$A$56:$K$345,10,0)=TRUE,'Auto Responses'!$J$3,"")</f>
      </c>
    </row>
    <row r="156" spans="1:11" ht="68" x14ac:dyDescent="0.2">
      <c r="A156" s="19" t="s">
        <v>155</v>
      </c>
      <c r="B156" s="18">
        <f>VLOOKUP($A156,Questions!$A$2:$X$333,2,0)</f>
      </c>
      <c r="C156" s="45">
        <f>VLOOKUP($A156,'Institution Evaluation'!$A$56:$K$345,3,0)&amp;""</f>
      </c>
      <c r="D156" s="45">
        <f>VLOOKUP($A156,'Institution Evaluation'!$A$56:$K$345,4,0)&amp;""</f>
      </c>
      <c r="E156" s="323">
        <f>VLOOKUP($A156,'Institution Evaluation'!$A$56:$K$345,5,0)&amp;""</f>
      </c>
      <c r="F156" s="187">
        <f>VLOOKUP($A156,'Institution Evaluation'!$A$56:$K$345,6,0)&amp;""</f>
      </c>
      <c r="G156" s="30">
        <f>VLOOKUP($A156,'Institution Evaluation'!$A$56:$K$345,7,0)&amp;""</f>
      </c>
      <c r="H156" s="184">
        <f>VLOOKUP($A156,'Institution Evaluation'!$A$56:$K$345,8,0)&amp;""</f>
      </c>
      <c r="I156" s="45">
        <f>VLOOKUP($A156,'Institution Evaluation'!$A$56:$K$345,9,0)&amp;""</f>
      </c>
      <c r="J156" s="185">
        <f>VLOOKUP($A156,'Institution Evaluation'!$A$56:$K$345,10,0)&amp;""</f>
      </c>
      <c r="K156" s="48">
        <f>IF(VLOOKUP($A156,'Institution Evaluation'!$A$56:$K$345,10,0)=TRUE,'Auto Responses'!$J$3,"")</f>
      </c>
    </row>
    <row r="157" spans="1:11" ht="68" x14ac:dyDescent="0.2">
      <c r="A157" s="19" t="s">
        <v>157</v>
      </c>
      <c r="B157" s="18">
        <f>VLOOKUP($A157,Questions!$A$2:$X$333,2,0)</f>
      </c>
      <c r="C157" s="45">
        <f>VLOOKUP($A157,'Institution Evaluation'!$A$56:$K$345,3,0)&amp;""</f>
      </c>
      <c r="D157" s="45">
        <f>VLOOKUP($A157,'Institution Evaluation'!$A$56:$K$345,4,0)&amp;""</f>
      </c>
      <c r="E157" s="323">
        <f>VLOOKUP($A157,'Institution Evaluation'!$A$56:$K$345,5,0)&amp;""</f>
      </c>
      <c r="F157" s="187">
        <f>VLOOKUP($A157,'Institution Evaluation'!$A$56:$K$345,6,0)&amp;""</f>
      </c>
      <c r="G157" s="30">
        <f>VLOOKUP($A157,'Institution Evaluation'!$A$56:$K$345,7,0)&amp;""</f>
      </c>
      <c r="H157" s="184">
        <f>VLOOKUP($A157,'Institution Evaluation'!$A$56:$K$345,8,0)&amp;""</f>
      </c>
      <c r="I157" s="45">
        <f>VLOOKUP($A157,'Institution Evaluation'!$A$56:$K$345,9,0)&amp;""</f>
      </c>
      <c r="J157" s="185">
        <f>VLOOKUP($A157,'Institution Evaluation'!$A$56:$K$345,10,0)&amp;""</f>
      </c>
      <c r="K157" s="48">
        <f>IF(VLOOKUP($A157,'Institution Evaluation'!$A$56:$K$345,10,0)=TRUE,'Auto Responses'!$J$3,"")</f>
      </c>
    </row>
    <row r="158" spans="1:11" ht="68" x14ac:dyDescent="0.2">
      <c r="A158" s="19" t="s">
        <v>158</v>
      </c>
      <c r="B158" s="18">
        <f>VLOOKUP($A158,Questions!$A$2:$X$333,2,0)</f>
      </c>
      <c r="C158" s="45">
        <f>VLOOKUP($A158,'Institution Evaluation'!$A$56:$K$345,3,0)&amp;""</f>
      </c>
      <c r="D158" s="45">
        <f>VLOOKUP($A158,'Institution Evaluation'!$A$56:$K$345,4,0)&amp;""</f>
      </c>
      <c r="E158" s="323">
        <f>VLOOKUP($A158,'Institution Evaluation'!$A$56:$K$345,5,0)&amp;""</f>
      </c>
      <c r="F158" s="187">
        <f>VLOOKUP($A158,'Institution Evaluation'!$A$56:$K$345,6,0)&amp;""</f>
      </c>
      <c r="G158" s="30">
        <f>VLOOKUP($A158,'Institution Evaluation'!$A$56:$K$345,7,0)&amp;""</f>
      </c>
      <c r="H158" s="184">
        <f>VLOOKUP($A158,'Institution Evaluation'!$A$56:$K$345,8,0)&amp;""</f>
      </c>
      <c r="I158" s="45">
        <f>VLOOKUP($A158,'Institution Evaluation'!$A$56:$K$345,9,0)&amp;""</f>
      </c>
      <c r="J158" s="185">
        <f>VLOOKUP($A158,'Institution Evaluation'!$A$56:$K$345,10,0)&amp;""</f>
      </c>
      <c r="K158" s="48">
        <f>IF(VLOOKUP($A158,'Institution Evaluation'!$A$56:$K$345,10,0)=TRUE,'Auto Responses'!$J$3,"")</f>
      </c>
    </row>
    <row r="159" spans="1:11" ht="68" x14ac:dyDescent="0.2">
      <c r="A159" s="19" t="s">
        <v>160</v>
      </c>
      <c r="B159" s="18">
        <f>VLOOKUP($A159,Questions!$A$2:$X$333,2,0)</f>
      </c>
      <c r="C159" s="45">
        <f>VLOOKUP($A159,'Institution Evaluation'!$A$56:$K$345,3,0)&amp;""</f>
      </c>
      <c r="D159" s="45">
        <f>VLOOKUP($A159,'Institution Evaluation'!$A$56:$K$345,4,0)&amp;""</f>
      </c>
      <c r="E159" s="323">
        <f>VLOOKUP($A159,'Institution Evaluation'!$A$56:$K$345,5,0)&amp;""</f>
      </c>
      <c r="F159" s="187">
        <f>VLOOKUP($A159,'Institution Evaluation'!$A$56:$K$345,6,0)&amp;""</f>
      </c>
      <c r="G159" s="30">
        <f>VLOOKUP($A159,'Institution Evaluation'!$A$56:$K$345,7,0)&amp;""</f>
      </c>
      <c r="H159" s="184">
        <f>VLOOKUP($A159,'Institution Evaluation'!$A$56:$K$345,8,0)&amp;""</f>
      </c>
      <c r="I159" s="45">
        <f>VLOOKUP($A159,'Institution Evaluation'!$A$56:$K$345,9,0)&amp;""</f>
      </c>
      <c r="J159" s="185">
        <f>VLOOKUP($A159,'Institution Evaluation'!$A$56:$K$345,10,0)&amp;""</f>
      </c>
      <c r="K159" s="48">
        <f>IF(VLOOKUP($A159,'Institution Evaluation'!$A$56:$K$345,10,0)=TRUE,'Auto Responses'!$J$3,"")</f>
      </c>
    </row>
    <row r="160" spans="1:11" s="1" customFormat="1" ht="18" x14ac:dyDescent="0.15">
      <c r="A160" s="63">
        <f>VLOOKUP(LEFT($A161,4),'Auto Responses'!$N$4:$O$38,2,0)&amp;""</f>
        <v xml:space="preserve"> Application/Service Security</v>
      </c>
      <c r="B160" s="22"/>
      <c r="C160" s="31"/>
      <c r="D160" s="31"/>
      <c r="E160" s="324"/>
      <c r="F160" s="131" t="s">
        <v>1030</v>
      </c>
      <c r="G160" s="328" t="s">
        <v>869</v>
      </c>
      <c r="H160" s="328" t="s">
        <v>871</v>
      </c>
      <c r="I160" s="328" t="s">
        <v>19</v>
      </c>
      <c r="J160" s="328" t="s">
        <v>856</v>
      </c>
      <c r="K160" s="31"/>
    </row>
    <row r="161" spans="1:11" ht="85" x14ac:dyDescent="0.2">
      <c r="A161" s="19" t="s">
        <v>161</v>
      </c>
      <c r="B161" s="18">
        <f>VLOOKUP($A161,Questions!$A$2:$X$333,2,0)</f>
      </c>
      <c r="C161" s="45">
        <f>VLOOKUP($A161,'Institution Evaluation'!$A$56:$K$345,3,0)&amp;""</f>
      </c>
      <c r="D161" s="45">
        <f>VLOOKUP($A161,'Institution Evaluation'!$A$56:$K$345,4,0)&amp;""</f>
      </c>
      <c r="E161" s="323">
        <f>VLOOKUP($A161,'Institution Evaluation'!$A$56:$K$345,5,0)&amp;""</f>
      </c>
      <c r="F161" s="187">
        <f>VLOOKUP($A161,'Institution Evaluation'!$A$56:$K$345,6,0)&amp;""</f>
      </c>
      <c r="G161" s="30">
        <f>VLOOKUP($A161,'Institution Evaluation'!$A$56:$K$345,7,0)&amp;""</f>
      </c>
      <c r="H161" s="184">
        <f>VLOOKUP($A161,'Institution Evaluation'!$A$56:$K$345,8,0)&amp;""</f>
      </c>
      <c r="I161" s="45">
        <f>VLOOKUP($A161,'Institution Evaluation'!$A$56:$K$345,9,0)&amp;""</f>
      </c>
      <c r="J161" s="185">
        <f>VLOOKUP($A161,'Institution Evaluation'!$A$56:$K$345,10,0)&amp;""</f>
      </c>
      <c r="K161" s="48">
        <f>IF(VLOOKUP($A161,'Institution Evaluation'!$A$56:$K$345,10,0)=TRUE,'Auto Responses'!$J$3,"")</f>
      </c>
    </row>
    <row r="162" spans="1:11" ht="51" x14ac:dyDescent="0.2">
      <c r="A162" s="19" t="s">
        <v>166</v>
      </c>
      <c r="B162" s="18">
        <f>VLOOKUP($A162,Questions!$A$2:$X$333,2,0)</f>
      </c>
      <c r="C162" s="45">
        <f>VLOOKUP($A162,'Institution Evaluation'!$A$56:$K$345,3,0)&amp;""</f>
      </c>
      <c r="D162" s="45">
        <f>VLOOKUP($A162,'Institution Evaluation'!$A$56:$K$345,4,0)&amp;""</f>
      </c>
      <c r="E162" s="323">
        <f>VLOOKUP($A162,'Institution Evaluation'!$A$56:$K$345,5,0)&amp;""</f>
      </c>
      <c r="F162" s="187">
        <f>VLOOKUP($A162,'Institution Evaluation'!$A$56:$K$345,6,0)&amp;""</f>
      </c>
      <c r="G162" s="30">
        <f>VLOOKUP($A162,'Institution Evaluation'!$A$56:$K$345,7,0)&amp;""</f>
      </c>
      <c r="H162" s="184">
        <f>VLOOKUP($A162,'Institution Evaluation'!$A$56:$K$345,8,0)&amp;""</f>
      </c>
      <c r="I162" s="45">
        <f>VLOOKUP($A162,'Institution Evaluation'!$A$56:$K$345,9,0)&amp;""</f>
      </c>
      <c r="J162" s="185">
        <f>VLOOKUP($A162,'Institution Evaluation'!$A$56:$K$345,10,0)&amp;""</f>
      </c>
      <c r="K162" s="48">
        <f>IF(VLOOKUP($A162,'Institution Evaluation'!$A$56:$K$345,10,0)=TRUE,'Auto Responses'!$J$3,"")</f>
      </c>
    </row>
    <row r="163" spans="1:11" ht="51" x14ac:dyDescent="0.2">
      <c r="A163" s="19" t="s">
        <v>191</v>
      </c>
      <c r="B163" s="18">
        <f>VLOOKUP($A163,Questions!$A$2:$X$333,2,0)</f>
      </c>
      <c r="C163" s="45">
        <f>VLOOKUP($A163,'Institution Evaluation'!$A$56:$K$345,3,0)&amp;""</f>
      </c>
      <c r="D163" s="45">
        <f>VLOOKUP($A163,'Institution Evaluation'!$A$56:$K$345,4,0)&amp;""</f>
      </c>
      <c r="E163" s="323">
        <f>VLOOKUP($A163,'Institution Evaluation'!$A$56:$K$345,5,0)&amp;""</f>
      </c>
      <c r="F163" s="187">
        <f>VLOOKUP($A163,'Institution Evaluation'!$A$56:$K$345,6,0)&amp;""</f>
      </c>
      <c r="G163" s="30">
        <f>VLOOKUP($A163,'Institution Evaluation'!$A$56:$K$345,7,0)&amp;""</f>
      </c>
      <c r="H163" s="184">
        <f>VLOOKUP($A163,'Institution Evaluation'!$A$56:$K$345,8,0)&amp;""</f>
      </c>
      <c r="I163" s="45">
        <f>VLOOKUP($A163,'Institution Evaluation'!$A$56:$K$345,9,0)&amp;""</f>
      </c>
      <c r="J163" s="185">
        <f>VLOOKUP($A163,'Institution Evaluation'!$A$56:$K$345,10,0)&amp;""</f>
      </c>
      <c r="K163" s="48">
        <f>IF(VLOOKUP($A163,'Institution Evaluation'!$A$56:$K$345,10,0)=TRUE,'Auto Responses'!$J$3,"")</f>
      </c>
    </row>
    <row r="164" spans="1:11" s="1" customFormat="1" ht="18" x14ac:dyDescent="0.15">
      <c r="A164" s="63">
        <f>VLOOKUP(LEFT($A165,4),'Auto Responses'!$N$4:$O$38,2,0)&amp;""</f>
        <v xml:space="preserve"> Authentication, Authorization, and Account Management</v>
      </c>
      <c r="B164" s="22"/>
      <c r="C164" s="31"/>
      <c r="D164" s="31"/>
      <c r="E164" s="324"/>
      <c r="F164" s="131" t="s">
        <v>1030</v>
      </c>
      <c r="G164" s="328" t="s">
        <v>869</v>
      </c>
      <c r="H164" s="328" t="s">
        <v>871</v>
      </c>
      <c r="I164" s="328" t="s">
        <v>19</v>
      </c>
      <c r="J164" s="328" t="s">
        <v>856</v>
      </c>
      <c r="K164" s="31"/>
    </row>
    <row r="165" spans="1:11" ht="102" x14ac:dyDescent="0.2">
      <c r="A165" s="19" t="s">
        <v>216</v>
      </c>
      <c r="B165" s="18">
        <f>VLOOKUP($A165,Questions!$A$2:$X$333,2,0)</f>
      </c>
      <c r="C165" s="45">
        <f>VLOOKUP($A165,'Institution Evaluation'!$A$56:$K$345,3,0)&amp;""</f>
      </c>
      <c r="D165" s="45">
        <f>VLOOKUP($A165,'Institution Evaluation'!$A$56:$K$345,4,0)&amp;""</f>
      </c>
      <c r="E165" s="323">
        <f>VLOOKUP($A165,'Institution Evaluation'!$A$56:$K$345,5,0)&amp;""</f>
      </c>
      <c r="F165" s="187">
        <f>VLOOKUP($A165,'Institution Evaluation'!$A$56:$K$345,6,0)&amp;""</f>
      </c>
      <c r="G165" s="30">
        <f>VLOOKUP($A165,'Institution Evaluation'!$A$56:$K$345,7,0)&amp;""</f>
      </c>
      <c r="H165" s="184">
        <f>VLOOKUP($A165,'Institution Evaluation'!$A$56:$K$345,8,0)&amp;""</f>
      </c>
      <c r="I165" s="45">
        <f>VLOOKUP($A165,'Institution Evaluation'!$A$56:$K$345,9,0)&amp;""</f>
      </c>
      <c r="J165" s="185">
        <f>VLOOKUP($A165,'Institution Evaluation'!$A$56:$K$345,10,0)&amp;""</f>
      </c>
      <c r="K165" s="48">
        <f>IF(VLOOKUP($A165,'Institution Evaluation'!$A$56:$K$345,10,0)=TRUE,'Auto Responses'!$J$3,"")</f>
      </c>
    </row>
    <row r="166" spans="1:11" ht="68" x14ac:dyDescent="0.2">
      <c r="A166" s="19" t="s">
        <v>221</v>
      </c>
      <c r="B166" s="18">
        <f>VLOOKUP($A166,Questions!$A$2:$X$333,2,0)</f>
      </c>
      <c r="C166" s="45">
        <f>VLOOKUP($A166,'Institution Evaluation'!$A$56:$K$345,3,0)&amp;""</f>
      </c>
      <c r="D166" s="45">
        <f>VLOOKUP($A166,'Institution Evaluation'!$A$56:$K$345,4,0)&amp;""</f>
      </c>
      <c r="E166" s="323">
        <f>VLOOKUP($A166,'Institution Evaluation'!$A$56:$K$345,5,0)&amp;""</f>
      </c>
      <c r="F166" s="187">
        <f>VLOOKUP($A166,'Institution Evaluation'!$A$56:$K$345,6,0)&amp;""</f>
      </c>
      <c r="G166" s="30">
        <f>VLOOKUP($A166,'Institution Evaluation'!$A$56:$K$345,7,0)&amp;""</f>
      </c>
      <c r="H166" s="184">
        <f>VLOOKUP($A166,'Institution Evaluation'!$A$56:$K$345,8,0)&amp;""</f>
      </c>
      <c r="I166" s="45">
        <f>VLOOKUP($A166,'Institution Evaluation'!$A$56:$K$345,9,0)&amp;""</f>
      </c>
      <c r="J166" s="185">
        <f>VLOOKUP($A166,'Institution Evaluation'!$A$56:$K$345,10,0)&amp;""</f>
      </c>
      <c r="K166" s="48">
        <f>IF(VLOOKUP($A166,'Institution Evaluation'!$A$56:$K$345,10,0)=TRUE,'Auto Responses'!$J$3,"")</f>
      </c>
    </row>
    <row r="167" spans="1:11" ht="85" x14ac:dyDescent="0.2">
      <c r="A167" s="19" t="s">
        <v>253</v>
      </c>
      <c r="B167" s="18">
        <f>VLOOKUP($A167,Questions!$A$2:$X$333,2,0)</f>
      </c>
      <c r="C167" s="45">
        <f>VLOOKUP($A167,'Institution Evaluation'!$A$56:$K$345,3,0)&amp;""</f>
      </c>
      <c r="D167" s="45">
        <f>VLOOKUP($A167,'Institution Evaluation'!$A$56:$K$345,4,0)&amp;""</f>
      </c>
      <c r="E167" s="323">
        <f>VLOOKUP($A167,'Institution Evaluation'!$A$56:$K$345,5,0)&amp;""</f>
      </c>
      <c r="F167" s="187">
        <f>VLOOKUP($A167,'Institution Evaluation'!$A$56:$K$345,6,0)&amp;""</f>
      </c>
      <c r="G167" s="30">
        <f>VLOOKUP($A167,'Institution Evaluation'!$A$56:$K$345,7,0)&amp;""</f>
      </c>
      <c r="H167" s="184">
        <f>VLOOKUP($A167,'Institution Evaluation'!$A$56:$K$345,8,0)&amp;""</f>
      </c>
      <c r="I167" s="45">
        <f>VLOOKUP($A167,'Institution Evaluation'!$A$56:$K$345,9,0)&amp;""</f>
      </c>
      <c r="J167" s="185">
        <f>VLOOKUP($A167,'Institution Evaluation'!$A$56:$K$345,10,0)&amp;""</f>
      </c>
      <c r="K167" s="48">
        <f>IF(VLOOKUP($A167,'Institution Evaluation'!$A$56:$K$345,10,0)=TRUE,'Auto Responses'!$J$3,"")</f>
      </c>
    </row>
    <row r="168" spans="1:11" ht="60" x14ac:dyDescent="0.2">
      <c r="A168" s="19" t="s">
        <v>255</v>
      </c>
      <c r="B168" s="18">
        <f>VLOOKUP($A168,Questions!$A$2:$X$333,2,0)</f>
      </c>
      <c r="C168" s="45">
        <f>VLOOKUP($A168,'Institution Evaluation'!$A$56:$K$345,3,0)&amp;""</f>
      </c>
      <c r="D168" s="45">
        <f>VLOOKUP($A168,'Institution Evaluation'!$A$56:$K$345,4,0)&amp;""</f>
      </c>
      <c r="E168" s="323">
        <f>VLOOKUP($A168,'Institution Evaluation'!$A$56:$K$345,5,0)&amp;""</f>
      </c>
      <c r="F168" s="187">
        <f>VLOOKUP($A168,'Institution Evaluation'!$A$56:$K$345,6,0)&amp;""</f>
      </c>
      <c r="G168" s="30">
        <f>VLOOKUP($A168,'Institution Evaluation'!$A$56:$K$345,7,0)&amp;""</f>
      </c>
      <c r="H168" s="184">
        <f>VLOOKUP($A168,'Institution Evaluation'!$A$56:$K$345,8,0)&amp;""</f>
      </c>
      <c r="I168" s="45">
        <f>VLOOKUP($A168,'Institution Evaluation'!$A$56:$K$345,9,0)&amp;""</f>
      </c>
      <c r="J168" s="185">
        <f>VLOOKUP($A168,'Institution Evaluation'!$A$56:$K$345,10,0)&amp;""</f>
      </c>
      <c r="K168" s="48">
        <f>IF(VLOOKUP($A168,'Institution Evaluation'!$A$56:$K$345,10,0)=TRUE,'Auto Responses'!$J$3,"")</f>
      </c>
    </row>
    <row r="169" spans="1:11" ht="60" x14ac:dyDescent="0.2">
      <c r="A169" s="19" t="s">
        <v>268</v>
      </c>
      <c r="B169" s="18">
        <f>VLOOKUP($A169,Questions!$A$2:$X$333,2,0)</f>
      </c>
      <c r="C169" s="45">
        <f>VLOOKUP($A169,'Institution Evaluation'!$A$56:$K$345,3,0)&amp;""</f>
      </c>
      <c r="D169" s="45">
        <f>VLOOKUP($A169,'Institution Evaluation'!$A$56:$K$345,4,0)&amp;""</f>
      </c>
      <c r="E169" s="323">
        <f>VLOOKUP($A169,'Institution Evaluation'!$A$56:$K$345,5,0)&amp;""</f>
      </c>
      <c r="F169" s="187">
        <f>VLOOKUP($A169,'Institution Evaluation'!$A$56:$K$345,6,0)&amp;""</f>
      </c>
      <c r="G169" s="30">
        <f>VLOOKUP($A169,'Institution Evaluation'!$A$56:$K$345,7,0)&amp;""</f>
      </c>
      <c r="H169" s="184">
        <f>VLOOKUP($A169,'Institution Evaluation'!$A$56:$K$345,8,0)&amp;""</f>
      </c>
      <c r="I169" s="45">
        <f>VLOOKUP($A169,'Institution Evaluation'!$A$56:$K$345,9,0)&amp;""</f>
      </c>
      <c r="J169" s="185">
        <f>VLOOKUP($A169,'Institution Evaluation'!$A$56:$K$345,10,0)&amp;""</f>
      </c>
      <c r="K169" s="48">
        <f>IF(VLOOKUP($A169,'Institution Evaluation'!$A$56:$K$345,10,0)=TRUE,'Auto Responses'!$J$3,"")</f>
      </c>
    </row>
    <row r="170" spans="1:11" s="1" customFormat="1" ht="18" x14ac:dyDescent="0.15">
      <c r="A170" s="63">
        <f>VLOOKUP(LEFT($A171,4),'Auto Responses'!$N$4:$O$38,2,0)&amp;""</f>
        <v xml:space="preserve"> Change Management</v>
      </c>
      <c r="B170" s="22"/>
      <c r="C170" s="31"/>
      <c r="D170" s="31"/>
      <c r="E170" s="324"/>
      <c r="F170" s="131" t="s">
        <v>1030</v>
      </c>
      <c r="G170" s="328" t="s">
        <v>869</v>
      </c>
      <c r="H170" s="328" t="s">
        <v>871</v>
      </c>
      <c r="I170" s="328" t="s">
        <v>19</v>
      </c>
      <c r="J170" s="328" t="s">
        <v>856</v>
      </c>
      <c r="K170" s="31"/>
    </row>
    <row r="171" spans="1:11" ht="68" x14ac:dyDescent="0.2">
      <c r="A171" s="19" t="s">
        <v>274</v>
      </c>
      <c r="B171" s="18">
        <f>VLOOKUP($A171,Questions!$A$2:$X$333,2,0)</f>
      </c>
      <c r="C171" s="45">
        <f>VLOOKUP($A171,'Institution Evaluation'!$A$56:$K$345,3,0)&amp;""</f>
      </c>
      <c r="D171" s="45">
        <f>VLOOKUP($A171,'Institution Evaluation'!$A$56:$K$345,4,0)&amp;""</f>
      </c>
      <c r="E171" s="323">
        <f>VLOOKUP($A171,'Institution Evaluation'!$A$56:$K$345,5,0)&amp;""</f>
      </c>
      <c r="F171" s="187">
        <f>VLOOKUP($A171,'Institution Evaluation'!$A$56:$K$345,6,0)&amp;""</f>
      </c>
      <c r="G171" s="30">
        <f>VLOOKUP($A171,'Institution Evaluation'!$A$56:$K$345,7,0)&amp;""</f>
      </c>
      <c r="H171" s="184">
        <f>VLOOKUP($A171,'Institution Evaluation'!$A$56:$K$345,8,0)&amp;""</f>
      </c>
      <c r="I171" s="45">
        <f>VLOOKUP($A171,'Institution Evaluation'!$A$56:$K$345,9,0)&amp;""</f>
      </c>
      <c r="J171" s="185">
        <f>VLOOKUP($A171,'Institution Evaluation'!$A$56:$K$345,10,0)&amp;""</f>
      </c>
      <c r="K171" s="48">
        <f>IF(VLOOKUP($A171,'Institution Evaluation'!$A$56:$K$345,10,0)=TRUE,'Auto Responses'!$J$3,"")</f>
      </c>
    </row>
    <row r="172" spans="1:11" ht="85" x14ac:dyDescent="0.2">
      <c r="A172" s="19" t="s">
        <v>279</v>
      </c>
      <c r="B172" s="18">
        <f>VLOOKUP($A172,Questions!$A$2:$X$333,2,0)</f>
      </c>
      <c r="C172" s="45">
        <f>VLOOKUP($A172,'Institution Evaluation'!$A$56:$K$345,3,0)&amp;""</f>
      </c>
      <c r="D172" s="45">
        <f>VLOOKUP($A172,'Institution Evaluation'!$A$56:$K$345,4,0)&amp;""</f>
      </c>
      <c r="E172" s="323">
        <f>VLOOKUP($A172,'Institution Evaluation'!$A$56:$K$345,5,0)&amp;""</f>
      </c>
      <c r="F172" s="187">
        <f>VLOOKUP($A172,'Institution Evaluation'!$A$56:$K$345,6,0)&amp;""</f>
      </c>
      <c r="G172" s="30">
        <f>VLOOKUP($A172,'Institution Evaluation'!$A$56:$K$345,7,0)&amp;""</f>
      </c>
      <c r="H172" s="184">
        <f>VLOOKUP($A172,'Institution Evaluation'!$A$56:$K$345,8,0)&amp;""</f>
      </c>
      <c r="I172" s="45">
        <f>VLOOKUP($A172,'Institution Evaluation'!$A$56:$K$345,9,0)&amp;""</f>
      </c>
      <c r="J172" s="185">
        <f>VLOOKUP($A172,'Institution Evaluation'!$A$56:$K$345,10,0)&amp;""</f>
      </c>
      <c r="K172" s="48">
        <f>IF(VLOOKUP($A172,'Institution Evaluation'!$A$56:$K$345,10,0)=TRUE,'Auto Responses'!$J$3,"")</f>
      </c>
    </row>
    <row r="173" spans="1:11" s="1" customFormat="1" ht="18" x14ac:dyDescent="0.15">
      <c r="A173" s="63">
        <f>VLOOKUP(LEFT($A174,4),'Auto Responses'!$N$4:$O$38,2,0)&amp;""</f>
        <v xml:space="preserve"> Data</v>
      </c>
      <c r="B173" s="22"/>
      <c r="C173" s="31"/>
      <c r="D173" s="31"/>
      <c r="E173" s="324"/>
      <c r="F173" s="131" t="s">
        <v>1030</v>
      </c>
      <c r="G173" s="328" t="s">
        <v>869</v>
      </c>
      <c r="H173" s="328" t="s">
        <v>871</v>
      </c>
      <c r="I173" s="328" t="s">
        <v>19</v>
      </c>
      <c r="J173" s="328" t="s">
        <v>856</v>
      </c>
      <c r="K173" s="31"/>
    </row>
    <row r="174" spans="1:11" ht="102" x14ac:dyDescent="0.2">
      <c r="A174" s="19" t="s">
        <v>332</v>
      </c>
      <c r="B174" s="18">
        <f>VLOOKUP($A174,Questions!$A$2:$X$333,2,0)</f>
      </c>
      <c r="C174" s="45">
        <f>VLOOKUP($A174,'Institution Evaluation'!$A$56:$K$345,3,0)&amp;""</f>
      </c>
      <c r="D174" s="45">
        <f>VLOOKUP($A174,'Institution Evaluation'!$A$56:$K$345,4,0)&amp;""</f>
      </c>
      <c r="E174" s="323">
        <f>VLOOKUP($A174,'Institution Evaluation'!$A$56:$K$345,5,0)&amp;""</f>
      </c>
      <c r="F174" s="187">
        <f>VLOOKUP($A174,'Institution Evaluation'!$A$56:$K$345,6,0)&amp;""</f>
      </c>
      <c r="G174" s="30">
        <f>VLOOKUP($A174,'Institution Evaluation'!$A$56:$K$345,7,0)&amp;""</f>
      </c>
      <c r="H174" s="184">
        <f>VLOOKUP($A174,'Institution Evaluation'!$A$56:$K$345,8,0)&amp;""</f>
      </c>
      <c r="I174" s="45">
        <f>VLOOKUP($A174,'Institution Evaluation'!$A$56:$K$345,9,0)&amp;""</f>
      </c>
      <c r="J174" s="185">
        <f>VLOOKUP($A174,'Institution Evaluation'!$A$56:$K$345,10,0)&amp;""</f>
      </c>
      <c r="K174" s="48">
        <f>IF(VLOOKUP($A174,'Institution Evaluation'!$A$56:$K$345,10,0)=TRUE,'Auto Responses'!$J$3,"")</f>
      </c>
    </row>
    <row r="175" spans="1:11" ht="45" x14ac:dyDescent="0.2">
      <c r="A175" s="19" t="s">
        <v>336</v>
      </c>
      <c r="B175" s="18">
        <f>VLOOKUP($A175,Questions!$A$2:$X$333,2,0)</f>
      </c>
      <c r="C175" s="45">
        <f>VLOOKUP($A175,'Institution Evaluation'!$A$56:$K$345,3,0)&amp;""</f>
      </c>
      <c r="D175" s="45">
        <f>VLOOKUP($A175,'Institution Evaluation'!$A$56:$K$345,4,0)&amp;""</f>
      </c>
      <c r="E175" s="323">
        <f>VLOOKUP($A175,'Institution Evaluation'!$A$56:$K$345,5,0)&amp;""</f>
      </c>
      <c r="F175" s="187">
        <f>VLOOKUP($A175,'Institution Evaluation'!$A$56:$K$345,6,0)&amp;""</f>
      </c>
      <c r="G175" s="30">
        <f>VLOOKUP($A175,'Institution Evaluation'!$A$56:$K$345,7,0)&amp;""</f>
      </c>
      <c r="H175" s="184">
        <f>VLOOKUP($A175,'Institution Evaluation'!$A$56:$K$345,8,0)&amp;""</f>
      </c>
      <c r="I175" s="45">
        <f>VLOOKUP($A175,'Institution Evaluation'!$A$56:$K$345,9,0)&amp;""</f>
      </c>
      <c r="J175" s="185">
        <f>VLOOKUP($A175,'Institution Evaluation'!$A$56:$K$345,10,0)&amp;""</f>
      </c>
      <c r="K175" s="48">
        <f>IF(VLOOKUP($A175,'Institution Evaluation'!$A$56:$K$345,10,0)=TRUE,'Auto Responses'!$J$3,"")</f>
      </c>
    </row>
    <row r="176" spans="1:11" ht="45" x14ac:dyDescent="0.2">
      <c r="A176" s="19" t="s">
        <v>344</v>
      </c>
      <c r="B176" s="18">
        <f>VLOOKUP($A176,Questions!$A$2:$X$333,2,0)</f>
      </c>
      <c r="C176" s="45">
        <f>VLOOKUP($A176,'Institution Evaluation'!$A$56:$K$345,3,0)&amp;""</f>
      </c>
      <c r="D176" s="45">
        <f>VLOOKUP($A176,'Institution Evaluation'!$A$56:$K$345,4,0)&amp;""</f>
      </c>
      <c r="E176" s="323">
        <f>VLOOKUP($A176,'Institution Evaluation'!$A$56:$K$345,5,0)&amp;""</f>
      </c>
      <c r="F176" s="187">
        <f>VLOOKUP($A176,'Institution Evaluation'!$A$56:$K$345,6,0)&amp;""</f>
      </c>
      <c r="G176" s="30">
        <f>VLOOKUP($A176,'Institution Evaluation'!$A$56:$K$345,7,0)&amp;""</f>
      </c>
      <c r="H176" s="184">
        <f>VLOOKUP($A176,'Institution Evaluation'!$A$56:$K$345,8,0)&amp;""</f>
      </c>
      <c r="I176" s="45">
        <f>VLOOKUP($A176,'Institution Evaluation'!$A$56:$K$345,9,0)&amp;""</f>
      </c>
      <c r="J176" s="185">
        <f>VLOOKUP($A176,'Institution Evaluation'!$A$56:$K$345,10,0)&amp;""</f>
      </c>
      <c r="K176" s="48">
        <f>IF(VLOOKUP($A176,'Institution Evaluation'!$A$56:$K$345,10,0)=TRUE,'Auto Responses'!$J$3,"")</f>
      </c>
    </row>
    <row r="177" spans="1:11" ht="45" x14ac:dyDescent="0.2">
      <c r="A177" s="19" t="s">
        <v>346</v>
      </c>
      <c r="B177" s="18">
        <f>VLOOKUP($A177,Questions!$A$2:$X$333,2,0)</f>
      </c>
      <c r="C177" s="45">
        <f>VLOOKUP($A177,'Institution Evaluation'!$A$56:$K$345,3,0)&amp;""</f>
      </c>
      <c r="D177" s="45">
        <f>VLOOKUP($A177,'Institution Evaluation'!$A$56:$K$345,4,0)&amp;""</f>
      </c>
      <c r="E177" s="323">
        <f>VLOOKUP($A177,'Institution Evaluation'!$A$56:$K$345,5,0)&amp;""</f>
      </c>
      <c r="F177" s="187">
        <f>VLOOKUP($A177,'Institution Evaluation'!$A$56:$K$345,6,0)&amp;""</f>
      </c>
      <c r="G177" s="30">
        <f>VLOOKUP($A177,'Institution Evaluation'!$A$56:$K$345,7,0)&amp;""</f>
      </c>
      <c r="H177" s="184">
        <f>VLOOKUP($A177,'Institution Evaluation'!$A$56:$K$345,8,0)&amp;""</f>
      </c>
      <c r="I177" s="45">
        <f>VLOOKUP($A177,'Institution Evaluation'!$A$56:$K$345,9,0)&amp;""</f>
      </c>
      <c r="J177" s="185">
        <f>VLOOKUP($A177,'Institution Evaluation'!$A$56:$K$345,10,0)&amp;""</f>
      </c>
      <c r="K177" s="48">
        <f>IF(VLOOKUP($A177,'Institution Evaluation'!$A$56:$K$345,10,0)=TRUE,'Auto Responses'!$J$3,"")</f>
      </c>
    </row>
    <row r="178" spans="1:11" ht="45" x14ac:dyDescent="0.2">
      <c r="A178" s="19" t="s">
        <v>348</v>
      </c>
      <c r="B178" s="18">
        <f>VLOOKUP($A178,Questions!$A$2:$X$333,2,0)</f>
      </c>
      <c r="C178" s="45">
        <f>VLOOKUP($A178,'Institution Evaluation'!$A$56:$K$345,3,0)&amp;""</f>
      </c>
      <c r="D178" s="45">
        <f>VLOOKUP($A178,'Institution Evaluation'!$A$56:$K$345,4,0)&amp;""</f>
      </c>
      <c r="E178" s="323">
        <f>VLOOKUP($A178,'Institution Evaluation'!$A$56:$K$345,5,0)&amp;""</f>
      </c>
      <c r="F178" s="187">
        <f>VLOOKUP($A178,'Institution Evaluation'!$A$56:$K$345,6,0)&amp;""</f>
      </c>
      <c r="G178" s="30">
        <f>VLOOKUP($A178,'Institution Evaluation'!$A$56:$K$345,7,0)&amp;""</f>
      </c>
      <c r="H178" s="184">
        <f>VLOOKUP($A178,'Institution Evaluation'!$A$56:$K$345,8,0)&amp;""</f>
      </c>
      <c r="I178" s="45">
        <f>VLOOKUP($A178,'Institution Evaluation'!$A$56:$K$345,9,0)&amp;""</f>
      </c>
      <c r="J178" s="185">
        <f>VLOOKUP($A178,'Institution Evaluation'!$A$56:$K$345,10,0)&amp;""</f>
      </c>
      <c r="K178" s="48">
        <f>IF(VLOOKUP($A178,'Institution Evaluation'!$A$56:$K$345,10,0)=TRUE,'Auto Responses'!$J$3,"")</f>
      </c>
    </row>
    <row r="179" spans="1:11" ht="68" x14ac:dyDescent="0.2">
      <c r="A179" s="19" t="s">
        <v>352</v>
      </c>
      <c r="B179" s="18">
        <f>VLOOKUP($A179,Questions!$A$2:$X$333,2,0)</f>
      </c>
      <c r="C179" s="45">
        <f>VLOOKUP($A179,'Institution Evaluation'!$A$56:$K$345,3,0)&amp;""</f>
      </c>
      <c r="D179" s="45">
        <f>VLOOKUP($A179,'Institution Evaluation'!$A$56:$K$345,4,0)&amp;""</f>
      </c>
      <c r="E179" s="323">
        <f>VLOOKUP($A179,'Institution Evaluation'!$A$56:$K$345,5,0)&amp;""</f>
      </c>
      <c r="F179" s="187">
        <f>VLOOKUP($A179,'Institution Evaluation'!$A$56:$K$345,6,0)&amp;""</f>
      </c>
      <c r="G179" s="30">
        <f>VLOOKUP($A179,'Institution Evaluation'!$A$56:$K$345,7,0)&amp;""</f>
      </c>
      <c r="H179" s="184">
        <f>VLOOKUP($A179,'Institution Evaluation'!$A$56:$K$345,8,0)&amp;""</f>
      </c>
      <c r="I179" s="45">
        <f>VLOOKUP($A179,'Institution Evaluation'!$A$56:$K$345,9,0)&amp;""</f>
      </c>
      <c r="J179" s="185">
        <f>VLOOKUP($A179,'Institution Evaluation'!$A$56:$K$345,10,0)&amp;""</f>
      </c>
      <c r="K179" s="48">
        <f>IF(VLOOKUP($A179,'Institution Evaluation'!$A$56:$K$345,10,0)=TRUE,'Auto Responses'!$J$3,"")</f>
      </c>
    </row>
    <row r="180" spans="1:11" ht="68" x14ac:dyDescent="0.2">
      <c r="A180" s="19" t="s">
        <v>355</v>
      </c>
      <c r="B180" s="18">
        <f>VLOOKUP($A180,Questions!$A$2:$X$333,2,0)</f>
      </c>
      <c r="C180" s="45">
        <f>VLOOKUP($A180,'Institution Evaluation'!$A$56:$K$345,3,0)&amp;""</f>
      </c>
      <c r="D180" s="45">
        <f>VLOOKUP($A180,'Institution Evaluation'!$A$56:$K$345,4,0)&amp;""</f>
      </c>
      <c r="E180" s="323">
        <f>VLOOKUP($A180,'Institution Evaluation'!$A$56:$K$345,5,0)&amp;""</f>
      </c>
      <c r="F180" s="187">
        <f>VLOOKUP($A180,'Institution Evaluation'!$A$56:$K$345,6,0)&amp;""</f>
      </c>
      <c r="G180" s="30">
        <f>VLOOKUP($A180,'Institution Evaluation'!$A$56:$K$345,7,0)&amp;""</f>
      </c>
      <c r="H180" s="184">
        <f>VLOOKUP($A180,'Institution Evaluation'!$A$56:$K$345,8,0)&amp;""</f>
      </c>
      <c r="I180" s="45">
        <f>VLOOKUP($A180,'Institution Evaluation'!$A$56:$K$345,9,0)&amp;""</f>
      </c>
      <c r="J180" s="185">
        <f>VLOOKUP($A180,'Institution Evaluation'!$A$56:$K$345,10,0)&amp;""</f>
      </c>
      <c r="K180" s="48">
        <f>IF(VLOOKUP($A180,'Institution Evaluation'!$A$56:$K$345,10,0)=TRUE,'Auto Responses'!$J$3,"")</f>
      </c>
    </row>
    <row r="181" spans="1:11" ht="85" x14ac:dyDescent="0.2">
      <c r="A181" s="19" t="s">
        <v>359</v>
      </c>
      <c r="B181" s="18">
        <f>VLOOKUP($A181,Questions!$A$2:$X$333,2,0)</f>
      </c>
      <c r="C181" s="45">
        <f>VLOOKUP($A181,'Institution Evaluation'!$A$56:$K$345,3,0)&amp;""</f>
      </c>
      <c r="D181" s="45">
        <f>VLOOKUP($A181,'Institution Evaluation'!$A$56:$K$345,4,0)&amp;""</f>
      </c>
      <c r="E181" s="323">
        <f>VLOOKUP($A181,'Institution Evaluation'!$A$56:$K$345,5,0)&amp;""</f>
      </c>
      <c r="F181" s="187">
        <f>VLOOKUP($A181,'Institution Evaluation'!$A$56:$K$345,6,0)&amp;""</f>
      </c>
      <c r="G181" s="30">
        <f>VLOOKUP($A181,'Institution Evaluation'!$A$56:$K$345,7,0)&amp;""</f>
      </c>
      <c r="H181" s="184">
        <f>VLOOKUP($A181,'Institution Evaluation'!$A$56:$K$345,8,0)&amp;""</f>
      </c>
      <c r="I181" s="45">
        <f>VLOOKUP($A181,'Institution Evaluation'!$A$56:$K$345,9,0)&amp;""</f>
      </c>
      <c r="J181" s="185">
        <f>VLOOKUP($A181,'Institution Evaluation'!$A$56:$K$345,10,0)&amp;""</f>
      </c>
      <c r="K181" s="48">
        <f>IF(VLOOKUP($A181,'Institution Evaluation'!$A$56:$K$345,10,0)=TRUE,'Auto Responses'!$J$3,"")</f>
      </c>
    </row>
    <row r="182" spans="1:11" ht="68" x14ac:dyDescent="0.2">
      <c r="A182" s="19" t="s">
        <v>363</v>
      </c>
      <c r="B182" s="18">
        <f>VLOOKUP($A182,Questions!$A$2:$X$333,2,0)</f>
      </c>
      <c r="C182" s="45">
        <f>VLOOKUP($A182,'Institution Evaluation'!$A$56:$K$345,3,0)&amp;""</f>
      </c>
      <c r="D182" s="45">
        <f>VLOOKUP($A182,'Institution Evaluation'!$A$56:$K$345,4,0)&amp;""</f>
      </c>
      <c r="E182" s="323">
        <f>VLOOKUP($A182,'Institution Evaluation'!$A$56:$K$345,5,0)&amp;""</f>
      </c>
      <c r="F182" s="187">
        <f>VLOOKUP($A182,'Institution Evaluation'!$A$56:$K$345,6,0)&amp;""</f>
      </c>
      <c r="G182" s="30">
        <f>VLOOKUP($A182,'Institution Evaluation'!$A$56:$K$345,7,0)&amp;""</f>
      </c>
      <c r="H182" s="184">
        <f>VLOOKUP($A182,'Institution Evaluation'!$A$56:$K$345,8,0)&amp;""</f>
      </c>
      <c r="I182" s="45">
        <f>VLOOKUP($A182,'Institution Evaluation'!$A$56:$K$345,9,0)&amp;""</f>
      </c>
      <c r="J182" s="185">
        <f>VLOOKUP($A182,'Institution Evaluation'!$A$56:$K$345,10,0)&amp;""</f>
      </c>
      <c r="K182" s="48">
        <f>IF(VLOOKUP($A182,'Institution Evaluation'!$A$56:$K$345,10,0)=TRUE,'Auto Responses'!$J$3,"")</f>
      </c>
    </row>
    <row r="183" spans="1:11" ht="51" x14ac:dyDescent="0.2">
      <c r="A183" s="19" t="s">
        <v>369</v>
      </c>
      <c r="B183" s="18">
        <f>VLOOKUP($A183,Questions!$A$2:$X$333,2,0)</f>
      </c>
      <c r="C183" s="45">
        <f>VLOOKUP($A183,'Institution Evaluation'!$A$56:$K$345,3,0)&amp;""</f>
      </c>
      <c r="D183" s="45">
        <f>VLOOKUP($A183,'Institution Evaluation'!$A$56:$K$345,4,0)&amp;""</f>
      </c>
      <c r="E183" s="323">
        <f>VLOOKUP($A183,'Institution Evaluation'!$A$56:$K$345,5,0)&amp;""</f>
      </c>
      <c r="F183" s="187">
        <f>VLOOKUP($A183,'Institution Evaluation'!$A$56:$K$345,6,0)&amp;""</f>
      </c>
      <c r="G183" s="30">
        <f>VLOOKUP($A183,'Institution Evaluation'!$A$56:$K$345,7,0)&amp;""</f>
      </c>
      <c r="H183" s="184">
        <f>VLOOKUP($A183,'Institution Evaluation'!$A$56:$K$345,8,0)&amp;""</f>
      </c>
      <c r="I183" s="45">
        <f>VLOOKUP($A183,'Institution Evaluation'!$A$56:$K$345,9,0)&amp;""</f>
      </c>
      <c r="J183" s="185">
        <f>VLOOKUP($A183,'Institution Evaluation'!$A$56:$K$345,10,0)&amp;""</f>
      </c>
      <c r="K183" s="48">
        <f>IF(VLOOKUP($A183,'Institution Evaluation'!$A$56:$K$345,10,0)=TRUE,'Auto Responses'!$J$3,"")</f>
      </c>
    </row>
    <row r="184" spans="1:11" ht="68" x14ac:dyDescent="0.2">
      <c r="A184" s="19" t="s">
        <v>373</v>
      </c>
      <c r="B184" s="18">
        <f>VLOOKUP($A184,Questions!$A$2:$X$333,2,0)</f>
      </c>
      <c r="C184" s="45">
        <f>VLOOKUP($A184,'Institution Evaluation'!$A$56:$K$345,3,0)&amp;""</f>
      </c>
      <c r="D184" s="45">
        <f>VLOOKUP($A184,'Institution Evaluation'!$A$56:$K$345,4,0)&amp;""</f>
      </c>
      <c r="E184" s="323">
        <f>VLOOKUP($A184,'Institution Evaluation'!$A$56:$K$345,5,0)&amp;""</f>
      </c>
      <c r="F184" s="187">
        <f>VLOOKUP($A184,'Institution Evaluation'!$A$56:$K$345,6,0)&amp;""</f>
      </c>
      <c r="G184" s="30">
        <f>VLOOKUP($A184,'Institution Evaluation'!$A$56:$K$345,7,0)&amp;""</f>
      </c>
      <c r="H184" s="184">
        <f>VLOOKUP($A184,'Institution Evaluation'!$A$56:$K$345,8,0)&amp;""</f>
      </c>
      <c r="I184" s="45">
        <f>VLOOKUP($A184,'Institution Evaluation'!$A$56:$K$345,9,0)&amp;""</f>
      </c>
      <c r="J184" s="185">
        <f>VLOOKUP($A184,'Institution Evaluation'!$A$56:$K$345,10,0)&amp;""</f>
      </c>
      <c r="K184" s="48">
        <f>IF(VLOOKUP($A184,'Institution Evaluation'!$A$56:$K$345,10,0)=TRUE,'Auto Responses'!$J$3,"")</f>
      </c>
    </row>
    <row r="185" spans="1:11" ht="85" x14ac:dyDescent="0.2">
      <c r="A185" s="19" t="s">
        <v>374</v>
      </c>
      <c r="B185" s="18">
        <f>VLOOKUP($A185,Questions!$A$2:$X$333,2,0)</f>
      </c>
      <c r="C185" s="45">
        <f>VLOOKUP($A185,'Institution Evaluation'!$A$56:$K$345,3,0)&amp;""</f>
      </c>
      <c r="D185" s="45">
        <f>VLOOKUP($A185,'Institution Evaluation'!$A$56:$K$345,4,0)&amp;""</f>
      </c>
      <c r="E185" s="323">
        <f>VLOOKUP($A185,'Institution Evaluation'!$A$56:$K$345,5,0)&amp;""</f>
      </c>
      <c r="F185" s="187">
        <f>VLOOKUP($A185,'Institution Evaluation'!$A$56:$K$345,6,0)&amp;""</f>
      </c>
      <c r="G185" s="30">
        <f>VLOOKUP($A185,'Institution Evaluation'!$A$56:$K$345,7,0)&amp;""</f>
      </c>
      <c r="H185" s="184">
        <f>VLOOKUP($A185,'Institution Evaluation'!$A$56:$K$345,8,0)&amp;""</f>
      </c>
      <c r="I185" s="45">
        <f>VLOOKUP($A185,'Institution Evaluation'!$A$56:$K$345,9,0)&amp;""</f>
      </c>
      <c r="J185" s="185">
        <f>VLOOKUP($A185,'Institution Evaluation'!$A$56:$K$345,10,0)&amp;""</f>
      </c>
      <c r="K185" s="48">
        <f>IF(VLOOKUP($A185,'Institution Evaluation'!$A$56:$K$345,10,0)=TRUE,'Auto Responses'!$J$3,"")</f>
      </c>
    </row>
    <row r="186" spans="1:11" ht="85" x14ac:dyDescent="0.2">
      <c r="A186" s="19" t="s">
        <v>379</v>
      </c>
      <c r="B186" s="18">
        <f>VLOOKUP($A186,Questions!$A$2:$X$333,2,0)</f>
      </c>
      <c r="C186" s="45">
        <f>VLOOKUP($A186,'Institution Evaluation'!$A$56:$K$345,3,0)&amp;""</f>
      </c>
      <c r="D186" s="45">
        <f>VLOOKUP($A186,'Institution Evaluation'!$A$56:$K$345,4,0)&amp;""</f>
      </c>
      <c r="E186" s="323">
        <f>VLOOKUP($A186,'Institution Evaluation'!$A$56:$K$345,5,0)&amp;""</f>
      </c>
      <c r="F186" s="187">
        <f>VLOOKUP($A186,'Institution Evaluation'!$A$56:$K$345,6,0)&amp;""</f>
      </c>
      <c r="G186" s="30">
        <f>VLOOKUP($A186,'Institution Evaluation'!$A$56:$K$345,7,0)&amp;""</f>
      </c>
      <c r="H186" s="184">
        <f>VLOOKUP($A186,'Institution Evaluation'!$A$56:$K$345,8,0)&amp;""</f>
      </c>
      <c r="I186" s="45">
        <f>VLOOKUP($A186,'Institution Evaluation'!$A$56:$K$345,9,0)&amp;""</f>
      </c>
      <c r="J186" s="185">
        <f>VLOOKUP($A186,'Institution Evaluation'!$A$56:$K$345,10,0)&amp;""</f>
      </c>
      <c r="K186" s="48">
        <f>IF(VLOOKUP($A186,'Institution Evaluation'!$A$56:$K$345,10,0)=TRUE,'Auto Responses'!$J$3,"")</f>
      </c>
    </row>
    <row r="187" spans="1:11" ht="85" x14ac:dyDescent="0.2">
      <c r="A187" s="19" t="s">
        <v>398</v>
      </c>
      <c r="B187" s="18">
        <f>VLOOKUP($A187,Questions!$A$2:$X$333,2,0)</f>
      </c>
      <c r="C187" s="45">
        <f>VLOOKUP($A187,'Institution Evaluation'!$A$56:$K$345,3,0)&amp;""</f>
      </c>
      <c r="D187" s="45">
        <f>VLOOKUP($A187,'Institution Evaluation'!$A$56:$K$345,4,0)&amp;""</f>
      </c>
      <c r="E187" s="323">
        <f>VLOOKUP($A187,'Institution Evaluation'!$A$56:$K$345,5,0)&amp;""</f>
      </c>
      <c r="F187" s="187">
        <f>VLOOKUP($A187,'Institution Evaluation'!$A$56:$K$345,6,0)&amp;""</f>
      </c>
      <c r="G187" s="30">
        <f>VLOOKUP($A187,'Institution Evaluation'!$A$56:$K$345,7,0)&amp;""</f>
      </c>
      <c r="H187" s="184">
        <f>VLOOKUP($A187,'Institution Evaluation'!$A$56:$K$345,8,0)&amp;""</f>
      </c>
      <c r="I187" s="45">
        <f>VLOOKUP($A187,'Institution Evaluation'!$A$56:$K$345,9,0)&amp;""</f>
      </c>
      <c r="J187" s="185">
        <f>VLOOKUP($A187,'Institution Evaluation'!$A$56:$K$345,10,0)&amp;""</f>
      </c>
      <c r="K187" s="48">
        <f>IF(VLOOKUP($A187,'Institution Evaluation'!$A$56:$K$345,10,0)=TRUE,'Auto Responses'!$J$3,"")</f>
      </c>
    </row>
    <row r="188" spans="1:11" ht="85" x14ac:dyDescent="0.2">
      <c r="A188" s="19" t="s">
        <v>402</v>
      </c>
      <c r="B188" s="18">
        <f>VLOOKUP($A188,Questions!$A$2:$X$333,2,0)</f>
      </c>
      <c r="C188" s="45">
        <f>VLOOKUP($A188,'Institution Evaluation'!$A$56:$K$345,3,0)&amp;""</f>
      </c>
      <c r="D188" s="45">
        <f>VLOOKUP($A188,'Institution Evaluation'!$A$56:$K$345,4,0)&amp;""</f>
      </c>
      <c r="E188" s="323">
        <f>VLOOKUP($A188,'Institution Evaluation'!$A$56:$K$345,5,0)&amp;""</f>
      </c>
      <c r="F188" s="187">
        <f>VLOOKUP($A188,'Institution Evaluation'!$A$56:$K$345,6,0)&amp;""</f>
      </c>
      <c r="G188" s="30">
        <f>VLOOKUP($A188,'Institution Evaluation'!$A$56:$K$345,7,0)&amp;""</f>
      </c>
      <c r="H188" s="184">
        <f>VLOOKUP($A188,'Institution Evaluation'!$A$56:$K$345,8,0)&amp;""</f>
      </c>
      <c r="I188" s="45">
        <f>VLOOKUP($A188,'Institution Evaluation'!$A$56:$K$345,9,0)&amp;""</f>
      </c>
      <c r="J188" s="185">
        <f>VLOOKUP($A188,'Institution Evaluation'!$A$56:$K$345,10,0)&amp;""</f>
      </c>
      <c r="K188" s="48">
        <f>IF(VLOOKUP($A188,'Institution Evaluation'!$A$56:$K$345,10,0)=TRUE,'Auto Responses'!$J$3,"")</f>
      </c>
    </row>
    <row r="189" spans="1:11" s="1" customFormat="1" ht="18" x14ac:dyDescent="0.15">
      <c r="A189" s="63">
        <f>VLOOKUP(LEFT($A190,4),'Auto Responses'!$N$4:$O$38,2,0)&amp;""</f>
        <v xml:space="preserve"> Datacenter</v>
      </c>
      <c r="B189" s="22"/>
      <c r="C189" s="31"/>
      <c r="D189" s="31"/>
      <c r="E189" s="324"/>
      <c r="F189" s="131" t="s">
        <v>1030</v>
      </c>
      <c r="G189" s="328" t="s">
        <v>869</v>
      </c>
      <c r="H189" s="328" t="s">
        <v>871</v>
      </c>
      <c r="I189" s="328" t="s">
        <v>19</v>
      </c>
      <c r="J189" s="328" t="s">
        <v>856</v>
      </c>
      <c r="K189" s="31"/>
    </row>
    <row r="190" spans="1:11" ht="34" x14ac:dyDescent="0.2">
      <c r="A190" s="19" t="s">
        <v>407</v>
      </c>
      <c r="B190" s="18">
        <f>VLOOKUP($A190,Questions!$A$2:$X$333,2,0)</f>
      </c>
      <c r="C190" s="45">
        <f>VLOOKUP($A190,'Institution Evaluation'!$A$56:$K$345,3,0)&amp;""</f>
      </c>
      <c r="D190" s="45">
        <f>VLOOKUP($A190,'Institution Evaluation'!$A$56:$K$345,4,0)&amp;""</f>
      </c>
      <c r="E190" s="323">
        <f>VLOOKUP($A190,'Institution Evaluation'!$A$56:$K$345,5,0)&amp;""</f>
      </c>
      <c r="F190" s="187">
        <f>VLOOKUP($A190,'Institution Evaluation'!$A$56:$K$345,6,0)&amp;""</f>
      </c>
      <c r="G190" s="30">
        <f>VLOOKUP($A190,'Institution Evaluation'!$A$56:$K$345,7,0)&amp;""</f>
      </c>
      <c r="H190" s="184">
        <f>VLOOKUP($A190,'Institution Evaluation'!$A$56:$K$345,8,0)&amp;""</f>
      </c>
      <c r="I190" s="45">
        <f>VLOOKUP($A190,'Institution Evaluation'!$A$56:$K$345,9,0)&amp;""</f>
      </c>
      <c r="J190" s="185">
        <f>VLOOKUP($A190,'Institution Evaluation'!$A$56:$K$345,10,0)&amp;""</f>
      </c>
      <c r="K190" s="48">
        <f>IF(VLOOKUP($A190,'Institution Evaluation'!$A$56:$K$345,10,0)=TRUE,'Auto Responses'!$J$3,"")</f>
      </c>
    </row>
    <row r="191" spans="1:11" ht="68" x14ac:dyDescent="0.2">
      <c r="A191" s="19" t="s">
        <v>414</v>
      </c>
      <c r="B191" s="18">
        <f>VLOOKUP($A191,Questions!$A$2:$X$333,2,0)</f>
      </c>
      <c r="C191" s="45">
        <f>VLOOKUP($A191,'Institution Evaluation'!$A$56:$K$345,3,0)&amp;""</f>
      </c>
      <c r="D191" s="45">
        <f>VLOOKUP($A191,'Institution Evaluation'!$A$56:$K$345,4,0)&amp;""</f>
      </c>
      <c r="E191" s="323">
        <f>VLOOKUP($A191,'Institution Evaluation'!$A$56:$K$345,5,0)&amp;""</f>
      </c>
      <c r="F191" s="187">
        <f>VLOOKUP($A191,'Institution Evaluation'!$A$56:$K$345,6,0)&amp;""</f>
      </c>
      <c r="G191" s="30">
        <f>VLOOKUP($A191,'Institution Evaluation'!$A$56:$K$345,7,0)&amp;""</f>
      </c>
      <c r="H191" s="184">
        <f>VLOOKUP($A191,'Institution Evaluation'!$A$56:$K$345,8,0)&amp;""</f>
      </c>
      <c r="I191" s="45">
        <f>VLOOKUP($A191,'Institution Evaluation'!$A$56:$K$345,9,0)&amp;""</f>
      </c>
      <c r="J191" s="185">
        <f>VLOOKUP($A191,'Institution Evaluation'!$A$56:$K$345,10,0)&amp;""</f>
      </c>
      <c r="K191" s="48">
        <f>IF(VLOOKUP($A191,'Institution Evaluation'!$A$56:$K$345,10,0)=TRUE,'Auto Responses'!$J$3,"")</f>
      </c>
    </row>
    <row r="192" spans="1:11" s="1" customFormat="1" ht="18" x14ac:dyDescent="0.15">
      <c r="A192" s="63">
        <f>VLOOKUP(LEFT($A193,4),'Auto Responses'!$N$4:$O$38,2,0)&amp;""</f>
        <v xml:space="preserve"> Firewalls, IDS, IPS, and Networking</v>
      </c>
      <c r="B192" s="22"/>
      <c r="C192" s="31"/>
      <c r="D192" s="31"/>
      <c r="E192" s="324"/>
      <c r="F192" s="131" t="s">
        <v>1030</v>
      </c>
      <c r="G192" s="328" t="s">
        <v>869</v>
      </c>
      <c r="H192" s="328" t="s">
        <v>871</v>
      </c>
      <c r="I192" s="328" t="s">
        <v>19</v>
      </c>
      <c r="J192" s="328" t="s">
        <v>856</v>
      </c>
      <c r="K192" s="31"/>
    </row>
    <row r="193" spans="1:11" ht="34" x14ac:dyDescent="0.2">
      <c r="A193" s="19" t="s">
        <v>462</v>
      </c>
      <c r="B193" s="18">
        <f>VLOOKUP($A193,Questions!$A$2:$X$333,2,0)</f>
      </c>
      <c r="C193" s="45">
        <f>VLOOKUP($A193,'Institution Evaluation'!$A$56:$K$345,3,0)&amp;""</f>
      </c>
      <c r="D193" s="45">
        <f>VLOOKUP($A193,'Institution Evaluation'!$A$56:$K$345,4,0)&amp;""</f>
      </c>
      <c r="E193" s="323">
        <f>VLOOKUP($A193,'Institution Evaluation'!$A$56:$K$345,5,0)&amp;""</f>
      </c>
      <c r="F193" s="187">
        <f>VLOOKUP($A193,'Institution Evaluation'!$A$56:$K$345,6,0)&amp;""</f>
      </c>
      <c r="G193" s="30">
        <f>VLOOKUP($A193,'Institution Evaluation'!$A$56:$K$345,7,0)&amp;""</f>
      </c>
      <c r="H193" s="184">
        <f>VLOOKUP($A193,'Institution Evaluation'!$A$56:$K$345,8,0)&amp;""</f>
      </c>
      <c r="I193" s="45">
        <f>VLOOKUP($A193,'Institution Evaluation'!$A$56:$K$345,9,0)&amp;""</f>
      </c>
      <c r="J193" s="185">
        <f>VLOOKUP($A193,'Institution Evaluation'!$A$56:$K$345,10,0)&amp;""</f>
      </c>
      <c r="K193" s="48">
        <f>IF(VLOOKUP($A193,'Institution Evaluation'!$A$56:$K$345,10,0)=TRUE,'Auto Responses'!$J$3,"")</f>
      </c>
    </row>
    <row r="194" spans="1:11" ht="85" x14ac:dyDescent="0.2">
      <c r="A194" s="19" t="s">
        <v>465</v>
      </c>
      <c r="B194" s="18">
        <f>VLOOKUP($A194,Questions!$A$2:$X$333,2,0)</f>
      </c>
      <c r="C194" s="45">
        <f>VLOOKUP($A194,'Institution Evaluation'!$A$56:$K$345,3,0)&amp;""</f>
      </c>
      <c r="D194" s="45">
        <f>VLOOKUP($A194,'Institution Evaluation'!$A$56:$K$345,4,0)&amp;""</f>
      </c>
      <c r="E194" s="323">
        <f>VLOOKUP($A194,'Institution Evaluation'!$A$56:$K$345,5,0)&amp;""</f>
      </c>
      <c r="F194" s="187">
        <f>VLOOKUP($A194,'Institution Evaluation'!$A$56:$K$345,6,0)&amp;""</f>
      </c>
      <c r="G194" s="30">
        <f>VLOOKUP($A194,'Institution Evaluation'!$A$56:$K$345,7,0)&amp;""</f>
      </c>
      <c r="H194" s="184">
        <f>VLOOKUP($A194,'Institution Evaluation'!$A$56:$K$345,8,0)&amp;""</f>
      </c>
      <c r="I194" s="45">
        <f>VLOOKUP($A194,'Institution Evaluation'!$A$56:$K$345,9,0)&amp;""</f>
      </c>
      <c r="J194" s="185">
        <f>VLOOKUP($A194,'Institution Evaluation'!$A$56:$K$345,10,0)&amp;""</f>
      </c>
      <c r="K194" s="48">
        <f>IF(VLOOKUP($A194,'Institution Evaluation'!$A$56:$K$345,10,0)=TRUE,'Auto Responses'!$J$3,"")</f>
      </c>
    </row>
    <row r="195" spans="1:11" ht="68" x14ac:dyDescent="0.2">
      <c r="A195" s="19" t="s">
        <v>470</v>
      </c>
      <c r="B195" s="18">
        <f>VLOOKUP($A195,Questions!$A$2:$X$333,2,0)</f>
      </c>
      <c r="C195" s="45">
        <f>VLOOKUP($A195,'Institution Evaluation'!$A$56:$K$345,3,0)&amp;""</f>
      </c>
      <c r="D195" s="45">
        <f>VLOOKUP($A195,'Institution Evaluation'!$A$56:$K$345,4,0)&amp;""</f>
      </c>
      <c r="E195" s="323">
        <f>VLOOKUP($A195,'Institution Evaluation'!$A$56:$K$345,5,0)&amp;""</f>
      </c>
      <c r="F195" s="187">
        <f>VLOOKUP($A195,'Institution Evaluation'!$A$56:$K$345,6,0)&amp;""</f>
      </c>
      <c r="G195" s="30">
        <f>VLOOKUP($A195,'Institution Evaluation'!$A$56:$K$345,7,0)&amp;""</f>
      </c>
      <c r="H195" s="184">
        <f>VLOOKUP($A195,'Institution Evaluation'!$A$56:$K$345,8,0)&amp;""</f>
      </c>
      <c r="I195" s="45">
        <f>VLOOKUP($A195,'Institution Evaluation'!$A$56:$K$345,9,0)&amp;""</f>
      </c>
      <c r="J195" s="185">
        <f>VLOOKUP($A195,'Institution Evaluation'!$A$56:$K$345,10,0)&amp;""</f>
      </c>
      <c r="K195" s="48">
        <f>IF(VLOOKUP($A195,'Institution Evaluation'!$A$56:$K$345,10,0)=TRUE,'Auto Responses'!$J$3,"")</f>
      </c>
    </row>
    <row r="196" spans="1:11" ht="68" x14ac:dyDescent="0.2">
      <c r="A196" s="19" t="s">
        <v>475</v>
      </c>
      <c r="B196" s="18">
        <f>VLOOKUP($A196,Questions!$A$2:$X$333,2,0)</f>
      </c>
      <c r="C196" s="45">
        <f>VLOOKUP($A196,'Institution Evaluation'!$A$56:$K$345,3,0)&amp;""</f>
      </c>
      <c r="D196" s="45">
        <f>VLOOKUP($A196,'Institution Evaluation'!$A$56:$K$345,4,0)&amp;""</f>
      </c>
      <c r="E196" s="323">
        <f>VLOOKUP($A196,'Institution Evaluation'!$A$56:$K$345,5,0)&amp;""</f>
      </c>
      <c r="F196" s="187">
        <f>VLOOKUP($A196,'Institution Evaluation'!$A$56:$K$345,6,0)&amp;""</f>
      </c>
      <c r="G196" s="30">
        <f>VLOOKUP($A196,'Institution Evaluation'!$A$56:$K$345,7,0)&amp;""</f>
      </c>
      <c r="H196" s="184">
        <f>VLOOKUP($A196,'Institution Evaluation'!$A$56:$K$345,8,0)&amp;""</f>
      </c>
      <c r="I196" s="45">
        <f>VLOOKUP($A196,'Institution Evaluation'!$A$56:$K$345,9,0)&amp;""</f>
      </c>
      <c r="J196" s="185">
        <f>VLOOKUP($A196,'Institution Evaluation'!$A$56:$K$345,10,0)&amp;""</f>
      </c>
      <c r="K196" s="48">
        <f>IF(VLOOKUP($A196,'Institution Evaluation'!$A$56:$K$345,10,0)=TRUE,'Auto Responses'!$J$3,"")</f>
      </c>
    </row>
    <row r="197" spans="1:11" ht="68" x14ac:dyDescent="0.2">
      <c r="A197" s="19" t="s">
        <v>478</v>
      </c>
      <c r="B197" s="18">
        <f>VLOOKUP($A197,Questions!$A$2:$X$333,2,0)</f>
      </c>
      <c r="C197" s="45">
        <f>VLOOKUP($A197,'Institution Evaluation'!$A$56:$K$345,3,0)&amp;""</f>
      </c>
      <c r="D197" s="45">
        <f>VLOOKUP($A197,'Institution Evaluation'!$A$56:$K$345,4,0)&amp;""</f>
      </c>
      <c r="E197" s="323">
        <f>VLOOKUP($A197,'Institution Evaluation'!$A$56:$K$345,5,0)&amp;""</f>
      </c>
      <c r="F197" s="187">
        <f>VLOOKUP($A197,'Institution Evaluation'!$A$56:$K$345,6,0)&amp;""</f>
      </c>
      <c r="G197" s="30">
        <f>VLOOKUP($A197,'Institution Evaluation'!$A$56:$K$345,7,0)&amp;""</f>
      </c>
      <c r="H197" s="184">
        <f>VLOOKUP($A197,'Institution Evaluation'!$A$56:$K$345,8,0)&amp;""</f>
      </c>
      <c r="I197" s="45">
        <f>VLOOKUP($A197,'Institution Evaluation'!$A$56:$K$345,9,0)&amp;""</f>
      </c>
      <c r="J197" s="185">
        <f>VLOOKUP($A197,'Institution Evaluation'!$A$56:$K$345,10,0)&amp;""</f>
      </c>
      <c r="K197" s="48">
        <f>IF(VLOOKUP($A197,'Institution Evaluation'!$A$56:$K$345,10,0)=TRUE,'Auto Responses'!$J$3,"")</f>
      </c>
    </row>
    <row r="198" spans="1:11" ht="34" x14ac:dyDescent="0.2">
      <c r="A198" s="19" t="s">
        <v>490</v>
      </c>
      <c r="B198" s="18">
        <f>VLOOKUP($A198,Questions!$A$2:$X$333,2,0)</f>
      </c>
      <c r="C198" s="45">
        <f>VLOOKUP($A198,'Institution Evaluation'!$A$56:$K$345,3,0)&amp;""</f>
      </c>
      <c r="D198" s="45">
        <f>VLOOKUP($A198,'Institution Evaluation'!$A$56:$K$345,4,0)&amp;""</f>
      </c>
      <c r="E198" s="323">
        <f>VLOOKUP($A198,'Institution Evaluation'!$A$56:$K$345,5,0)&amp;""</f>
      </c>
      <c r="F198" s="187">
        <f>VLOOKUP($A198,'Institution Evaluation'!$A$56:$K$345,6,0)&amp;""</f>
      </c>
      <c r="G198" s="30">
        <f>VLOOKUP($A198,'Institution Evaluation'!$A$56:$K$345,7,0)&amp;""</f>
      </c>
      <c r="H198" s="184">
        <f>VLOOKUP($A198,'Institution Evaluation'!$A$56:$K$345,8,0)&amp;""</f>
      </c>
      <c r="I198" s="45">
        <f>VLOOKUP($A198,'Institution Evaluation'!$A$56:$K$345,9,0)&amp;""</f>
      </c>
      <c r="J198" s="185">
        <f>VLOOKUP($A198,'Institution Evaluation'!$A$56:$K$345,10,0)&amp;""</f>
      </c>
      <c r="K198" s="48">
        <f>IF(VLOOKUP($A198,'Institution Evaluation'!$A$56:$K$345,10,0)=TRUE,'Auto Responses'!$J$3,"")</f>
      </c>
    </row>
    <row r="199" spans="1:11" s="1" customFormat="1" ht="18" x14ac:dyDescent="0.15">
      <c r="A199" s="63">
        <f>VLOOKUP(LEFT($A200,4),'Auto Responses'!$N$4:$O$38,2,0)&amp;""</f>
        <v xml:space="preserve"> Policies, Processes, and Procedures</v>
      </c>
      <c r="B199" s="22"/>
      <c r="C199" s="31"/>
      <c r="D199" s="31"/>
      <c r="E199" s="324"/>
      <c r="F199" s="131" t="s">
        <v>1030</v>
      </c>
      <c r="G199" s="328" t="s">
        <v>869</v>
      </c>
      <c r="H199" s="328" t="s">
        <v>871</v>
      </c>
      <c r="I199" s="328" t="s">
        <v>19</v>
      </c>
      <c r="J199" s="328" t="s">
        <v>856</v>
      </c>
      <c r="K199" s="31"/>
    </row>
    <row r="200" spans="1:11" ht="34" x14ac:dyDescent="0.2">
      <c r="A200" s="19" t="s">
        <v>506</v>
      </c>
      <c r="B200" s="18">
        <f>VLOOKUP($A200,Questions!$A$2:$X$333,2,0)</f>
      </c>
      <c r="C200" s="45">
        <f>VLOOKUP($A200,'Institution Evaluation'!$A$56:$K$345,3,0)&amp;""</f>
      </c>
      <c r="D200" s="45">
        <f>VLOOKUP($A200,'Institution Evaluation'!$A$56:$K$345,4,0)&amp;""</f>
      </c>
      <c r="E200" s="323">
        <f>VLOOKUP($A200,'Institution Evaluation'!$A$56:$K$345,5,0)&amp;""</f>
      </c>
      <c r="F200" s="187">
        <f>VLOOKUP($A200,'Institution Evaluation'!$A$56:$K$345,6,0)&amp;""</f>
      </c>
      <c r="G200" s="30">
        <f>VLOOKUP($A200,'Institution Evaluation'!$A$56:$K$345,7,0)&amp;""</f>
      </c>
      <c r="H200" s="184">
        <f>VLOOKUP($A200,'Institution Evaluation'!$A$56:$K$345,8,0)&amp;""</f>
      </c>
      <c r="I200" s="45">
        <f>VLOOKUP($A200,'Institution Evaluation'!$A$56:$K$345,9,0)&amp;""</f>
      </c>
      <c r="J200" s="185">
        <f>VLOOKUP($A200,'Institution Evaluation'!$A$56:$K$345,10,0)&amp;""</f>
      </c>
      <c r="K200" s="48">
        <f>IF(VLOOKUP($A200,'Institution Evaluation'!$A$56:$K$345,10,0)=TRUE,'Auto Responses'!$J$3,"")</f>
      </c>
    </row>
    <row r="201" spans="1:11" ht="68" x14ac:dyDescent="0.2">
      <c r="A201" s="19" t="s">
        <v>510</v>
      </c>
      <c r="B201" s="18">
        <f>VLOOKUP($A201,Questions!$A$2:$X$333,2,0)</f>
      </c>
      <c r="C201" s="45">
        <f>VLOOKUP($A201,'Institution Evaluation'!$A$56:$K$345,3,0)&amp;""</f>
      </c>
      <c r="D201" s="45">
        <f>VLOOKUP($A201,'Institution Evaluation'!$A$56:$K$345,4,0)&amp;""</f>
      </c>
      <c r="E201" s="323">
        <f>VLOOKUP($A201,'Institution Evaluation'!$A$56:$K$345,5,0)&amp;""</f>
      </c>
      <c r="F201" s="187">
        <f>VLOOKUP($A201,'Institution Evaluation'!$A$56:$K$345,6,0)&amp;""</f>
      </c>
      <c r="G201" s="30">
        <f>VLOOKUP($A201,'Institution Evaluation'!$A$56:$K$345,7,0)&amp;""</f>
      </c>
      <c r="H201" s="184">
        <f>VLOOKUP($A201,'Institution Evaluation'!$A$56:$K$345,8,0)&amp;""</f>
      </c>
      <c r="I201" s="45">
        <f>VLOOKUP($A201,'Institution Evaluation'!$A$56:$K$345,9,0)&amp;""</f>
      </c>
      <c r="J201" s="185">
        <f>VLOOKUP($A201,'Institution Evaluation'!$A$56:$K$345,10,0)&amp;""</f>
      </c>
      <c r="K201" s="48">
        <f>IF(VLOOKUP($A201,'Institution Evaluation'!$A$56:$K$345,10,0)=TRUE,'Auto Responses'!$J$3,"")</f>
      </c>
    </row>
    <row r="202" spans="1:11" ht="68" x14ac:dyDescent="0.2">
      <c r="A202" s="19" t="s">
        <v>531</v>
      </c>
      <c r="B202" s="18">
        <f>VLOOKUP($A202,Questions!$A$2:$X$333,2,0)</f>
      </c>
      <c r="C202" s="45">
        <f>VLOOKUP($A202,'Institution Evaluation'!$A$56:$K$345,3,0)&amp;""</f>
      </c>
      <c r="D202" s="45">
        <f>VLOOKUP($A202,'Institution Evaluation'!$A$56:$K$345,4,0)&amp;""</f>
      </c>
      <c r="E202" s="323">
        <f>VLOOKUP($A202,'Institution Evaluation'!$A$56:$K$345,5,0)&amp;""</f>
      </c>
      <c r="F202" s="187">
        <f>VLOOKUP($A202,'Institution Evaluation'!$A$56:$K$345,6,0)&amp;""</f>
      </c>
      <c r="G202" s="30">
        <f>VLOOKUP($A202,'Institution Evaluation'!$A$56:$K$345,7,0)&amp;""</f>
      </c>
      <c r="H202" s="184">
        <f>VLOOKUP($A202,'Institution Evaluation'!$A$56:$K$345,8,0)&amp;""</f>
      </c>
      <c r="I202" s="45">
        <f>VLOOKUP($A202,'Institution Evaluation'!$A$56:$K$345,9,0)&amp;""</f>
      </c>
      <c r="J202" s="185">
        <f>VLOOKUP($A202,'Institution Evaluation'!$A$56:$K$345,10,0)&amp;""</f>
      </c>
      <c r="K202" s="48">
        <f>IF(VLOOKUP($A202,'Institution Evaluation'!$A$56:$K$345,10,0)=TRUE,'Auto Responses'!$J$3,"")</f>
      </c>
    </row>
    <row r="203" spans="1:11" ht="51" x14ac:dyDescent="0.2">
      <c r="A203" s="19" t="s">
        <v>535</v>
      </c>
      <c r="B203" s="18">
        <f>VLOOKUP($A203,Questions!$A$2:$X$333,2,0)</f>
      </c>
      <c r="C203" s="45">
        <f>VLOOKUP($A203,'Institution Evaluation'!$A$56:$K$345,3,0)&amp;""</f>
      </c>
      <c r="D203" s="45">
        <f>VLOOKUP($A203,'Institution Evaluation'!$A$56:$K$345,4,0)&amp;""</f>
      </c>
      <c r="E203" s="323">
        <f>VLOOKUP($A203,'Institution Evaluation'!$A$56:$K$345,5,0)&amp;""</f>
      </c>
      <c r="F203" s="187">
        <f>VLOOKUP($A203,'Institution Evaluation'!$A$56:$K$345,6,0)&amp;""</f>
      </c>
      <c r="G203" s="30">
        <f>VLOOKUP($A203,'Institution Evaluation'!$A$56:$K$345,7,0)&amp;""</f>
      </c>
      <c r="H203" s="184">
        <f>VLOOKUP($A203,'Institution Evaluation'!$A$56:$K$345,8,0)&amp;""</f>
      </c>
      <c r="I203" s="45">
        <f>VLOOKUP($A203,'Institution Evaluation'!$A$56:$K$345,9,0)&amp;""</f>
      </c>
      <c r="J203" s="185">
        <f>VLOOKUP($A203,'Institution Evaluation'!$A$56:$K$345,10,0)&amp;""</f>
      </c>
      <c r="K203" s="48">
        <f>IF(VLOOKUP($A203,'Institution Evaluation'!$A$56:$K$345,10,0)=TRUE,'Auto Responses'!$J$3,"")</f>
      </c>
    </row>
    <row r="204" spans="1:11" ht="51" x14ac:dyDescent="0.2">
      <c r="A204" s="19" t="s">
        <v>540</v>
      </c>
      <c r="B204" s="18">
        <f>VLOOKUP($A204,Questions!$A$2:$X$333,2,0)</f>
      </c>
      <c r="C204" s="45">
        <f>VLOOKUP($A204,'Institution Evaluation'!$A$56:$K$345,3,0)&amp;""</f>
      </c>
      <c r="D204" s="45">
        <f>VLOOKUP($A204,'Institution Evaluation'!$A$56:$K$345,4,0)&amp;""</f>
      </c>
      <c r="E204" s="323">
        <f>VLOOKUP($A204,'Institution Evaluation'!$A$56:$K$345,5,0)&amp;""</f>
      </c>
      <c r="F204" s="187">
        <f>VLOOKUP($A204,'Institution Evaluation'!$A$56:$K$345,6,0)&amp;""</f>
      </c>
      <c r="G204" s="30">
        <f>VLOOKUP($A204,'Institution Evaluation'!$A$56:$K$345,7,0)&amp;""</f>
      </c>
      <c r="H204" s="184">
        <f>VLOOKUP($A204,'Institution Evaluation'!$A$56:$K$345,8,0)&amp;""</f>
      </c>
      <c r="I204" s="45">
        <f>VLOOKUP($A204,'Institution Evaluation'!$A$56:$K$345,9,0)&amp;""</f>
      </c>
      <c r="J204" s="185">
        <f>VLOOKUP($A204,'Institution Evaluation'!$A$56:$K$345,10,0)&amp;""</f>
      </c>
      <c r="K204" s="48">
        <f>IF(VLOOKUP($A204,'Institution Evaluation'!$A$56:$K$345,10,0)=TRUE,'Auto Responses'!$J$3,"")</f>
      </c>
    </row>
    <row r="205" spans="1:11" ht="68" x14ac:dyDescent="0.2">
      <c r="A205" s="19" t="s">
        <v>548</v>
      </c>
      <c r="B205" s="18">
        <f>VLOOKUP($A205,Questions!$A$2:$X$333,2,0)</f>
      </c>
      <c r="C205" s="45">
        <f>VLOOKUP($A205,'Institution Evaluation'!$A$56:$K$345,3,0)&amp;""</f>
      </c>
      <c r="D205" s="45">
        <f>VLOOKUP($A205,'Institution Evaluation'!$A$56:$K$345,4,0)&amp;""</f>
      </c>
      <c r="E205" s="323">
        <f>VLOOKUP($A205,'Institution Evaluation'!$A$56:$K$345,5,0)&amp;""</f>
      </c>
      <c r="F205" s="187">
        <f>VLOOKUP($A205,'Institution Evaluation'!$A$56:$K$345,6,0)&amp;""</f>
      </c>
      <c r="G205" s="30">
        <f>VLOOKUP($A205,'Institution Evaluation'!$A$56:$K$345,7,0)&amp;""</f>
      </c>
      <c r="H205" s="184">
        <f>VLOOKUP($A205,'Institution Evaluation'!$A$56:$K$345,8,0)&amp;""</f>
      </c>
      <c r="I205" s="45">
        <f>VLOOKUP($A205,'Institution Evaluation'!$A$56:$K$345,9,0)&amp;""</f>
      </c>
      <c r="J205" s="185">
        <f>VLOOKUP($A205,'Institution Evaluation'!$A$56:$K$345,10,0)&amp;""</f>
      </c>
      <c r="K205" s="48">
        <f>IF(VLOOKUP($A205,'Institution Evaluation'!$A$56:$K$345,10,0)=TRUE,'Auto Responses'!$J$3,"")</f>
      </c>
    </row>
    <row r="206" spans="1:11" ht="85" x14ac:dyDescent="0.2">
      <c r="A206" s="19" t="s">
        <v>553</v>
      </c>
      <c r="B206" s="18">
        <f>VLOOKUP($A206,Questions!$A$2:$X$333,2,0)</f>
      </c>
      <c r="C206" s="45">
        <f>VLOOKUP($A206,'Institution Evaluation'!$A$56:$K$345,3,0)&amp;""</f>
      </c>
      <c r="D206" s="45">
        <f>VLOOKUP($A206,'Institution Evaluation'!$A$56:$K$345,4,0)&amp;""</f>
      </c>
      <c r="E206" s="323">
        <f>VLOOKUP($A206,'Institution Evaluation'!$A$56:$K$345,5,0)&amp;""</f>
      </c>
      <c r="F206" s="187">
        <f>VLOOKUP($A206,'Institution Evaluation'!$A$56:$K$345,6,0)&amp;""</f>
      </c>
      <c r="G206" s="30">
        <f>VLOOKUP($A206,'Institution Evaluation'!$A$56:$K$345,7,0)&amp;""</f>
      </c>
      <c r="H206" s="184">
        <f>VLOOKUP($A206,'Institution Evaluation'!$A$56:$K$345,8,0)&amp;""</f>
      </c>
      <c r="I206" s="45">
        <f>VLOOKUP($A206,'Institution Evaluation'!$A$56:$K$345,9,0)&amp;""</f>
      </c>
      <c r="J206" s="185">
        <f>VLOOKUP($A206,'Institution Evaluation'!$A$56:$K$345,10,0)&amp;""</f>
      </c>
      <c r="K206" s="48">
        <f>IF(VLOOKUP($A206,'Institution Evaluation'!$A$56:$K$345,10,0)=TRUE,'Auto Responses'!$J$3,"")</f>
      </c>
    </row>
    <row r="207" spans="1:11" s="1" customFormat="1" ht="18" x14ac:dyDescent="0.15">
      <c r="A207" s="63">
        <f>VLOOKUP(LEFT($A208,4),'Auto Responses'!$N$4:$O$38,2,0)&amp;""</f>
        <v xml:space="preserve"> Incident Handling</v>
      </c>
      <c r="B207" s="22"/>
      <c r="C207" s="31"/>
      <c r="D207" s="31"/>
      <c r="E207" s="324"/>
      <c r="F207" s="131" t="s">
        <v>1030</v>
      </c>
      <c r="G207" s="328" t="s">
        <v>869</v>
      </c>
      <c r="H207" s="328" t="s">
        <v>871</v>
      </c>
      <c r="I207" s="328" t="s">
        <v>19</v>
      </c>
      <c r="J207" s="328" t="s">
        <v>856</v>
      </c>
      <c r="K207" s="31"/>
    </row>
    <row r="208" spans="1:11" ht="34" x14ac:dyDescent="0.2">
      <c r="A208" s="19" t="s">
        <v>558</v>
      </c>
      <c r="B208" s="18">
        <f>VLOOKUP($A208,Questions!$A$2:$X$333,2,0)</f>
      </c>
      <c r="C208" s="45">
        <f>VLOOKUP($A208,'Institution Evaluation'!$A$56:$K$345,3,0)&amp;""</f>
      </c>
      <c r="D208" s="45">
        <f>VLOOKUP($A208,'Institution Evaluation'!$A$56:$K$345,4,0)&amp;""</f>
      </c>
      <c r="E208" s="323">
        <f>VLOOKUP($A208,'Institution Evaluation'!$A$56:$K$345,5,0)&amp;""</f>
      </c>
      <c r="F208" s="187">
        <f>VLOOKUP($A208,'Institution Evaluation'!$A$56:$K$345,6,0)&amp;""</f>
      </c>
      <c r="G208" s="30">
        <f>VLOOKUP($A208,'Institution Evaluation'!$A$56:$K$345,7,0)&amp;""</f>
      </c>
      <c r="H208" s="184">
        <f>VLOOKUP($A208,'Institution Evaluation'!$A$56:$K$345,8,0)&amp;""</f>
      </c>
      <c r="I208" s="45">
        <f>VLOOKUP($A208,'Institution Evaluation'!$A$56:$K$345,9,0)&amp;""</f>
      </c>
      <c r="J208" s="185">
        <f>VLOOKUP($A208,'Institution Evaluation'!$A$56:$K$345,10,0)&amp;""</f>
      </c>
      <c r="K208" s="48">
        <f>IF(VLOOKUP($A208,'Institution Evaluation'!$A$56:$K$345,10,0)=TRUE,'Auto Responses'!$J$3,"")</f>
      </c>
    </row>
    <row r="209" spans="1:11" ht="68" x14ac:dyDescent="0.2">
      <c r="A209" s="19" t="s">
        <v>562</v>
      </c>
      <c r="B209" s="18">
        <f>VLOOKUP($A209,Questions!$A$2:$X$333,2,0)</f>
      </c>
      <c r="C209" s="45">
        <f>VLOOKUP($A209,'Institution Evaluation'!$A$56:$K$345,3,0)&amp;""</f>
      </c>
      <c r="D209" s="45">
        <f>VLOOKUP($A209,'Institution Evaluation'!$A$56:$K$345,4,0)&amp;""</f>
      </c>
      <c r="E209" s="323">
        <f>VLOOKUP($A209,'Institution Evaluation'!$A$56:$K$345,5,0)&amp;""</f>
      </c>
      <c r="F209" s="187">
        <f>VLOOKUP($A209,'Institution Evaluation'!$A$56:$K$345,6,0)&amp;""</f>
      </c>
      <c r="G209" s="30">
        <f>VLOOKUP($A209,'Institution Evaluation'!$A$56:$K$345,7,0)&amp;""</f>
      </c>
      <c r="H209" s="184">
        <f>VLOOKUP($A209,'Institution Evaluation'!$A$56:$K$345,8,0)&amp;""</f>
      </c>
      <c r="I209" s="45">
        <f>VLOOKUP($A209,'Institution Evaluation'!$A$56:$K$345,9,0)&amp;""</f>
      </c>
      <c r="J209" s="185">
        <f>VLOOKUP($A209,'Institution Evaluation'!$A$56:$K$345,10,0)&amp;""</f>
      </c>
      <c r="K209" s="48">
        <f>IF(VLOOKUP($A209,'Institution Evaluation'!$A$56:$K$345,10,0)=TRUE,'Auto Responses'!$J$3,"")</f>
      </c>
    </row>
    <row r="210" spans="1:11" ht="51" x14ac:dyDescent="0.2">
      <c r="A210" s="19" t="s">
        <v>566</v>
      </c>
      <c r="B210" s="18">
        <f>VLOOKUP($A210,Questions!$A$2:$X$333,2,0)</f>
      </c>
      <c r="C210" s="45">
        <f>VLOOKUP($A210,'Institution Evaluation'!$A$56:$K$345,3,0)&amp;""</f>
      </c>
      <c r="D210" s="45">
        <f>VLOOKUP($A210,'Institution Evaluation'!$A$56:$K$345,4,0)&amp;""</f>
      </c>
      <c r="E210" s="323">
        <f>VLOOKUP($A210,'Institution Evaluation'!$A$56:$K$345,5,0)&amp;""</f>
      </c>
      <c r="F210" s="187">
        <f>VLOOKUP($A210,'Institution Evaluation'!$A$56:$K$345,6,0)&amp;""</f>
      </c>
      <c r="G210" s="30">
        <f>VLOOKUP($A210,'Institution Evaluation'!$A$56:$K$345,7,0)&amp;""</f>
      </c>
      <c r="H210" s="184">
        <f>VLOOKUP($A210,'Institution Evaluation'!$A$56:$K$345,8,0)&amp;""</f>
      </c>
      <c r="I210" s="45">
        <f>VLOOKUP($A210,'Institution Evaluation'!$A$56:$K$345,9,0)&amp;""</f>
      </c>
      <c r="J210" s="185">
        <f>VLOOKUP($A210,'Institution Evaluation'!$A$56:$K$345,10,0)&amp;""</f>
      </c>
      <c r="K210" s="48">
        <f>IF(VLOOKUP($A210,'Institution Evaluation'!$A$56:$K$345,10,0)=TRUE,'Auto Responses'!$J$3,"")</f>
      </c>
    </row>
    <row r="211" spans="1:11" ht="170" x14ac:dyDescent="0.2">
      <c r="A211" s="19" t="s">
        <v>570</v>
      </c>
      <c r="B211" s="18">
        <f>VLOOKUP($A211,Questions!$A$2:$X$333,2,0)</f>
      </c>
      <c r="C211" s="45">
        <f>VLOOKUP($A211,'Institution Evaluation'!$A$56:$K$345,3,0)&amp;""</f>
      </c>
      <c r="D211" s="45">
        <f>VLOOKUP($A211,'Institution Evaluation'!$A$56:$K$345,4,0)&amp;""</f>
      </c>
      <c r="E211" s="323">
        <f>VLOOKUP($A211,'Institution Evaluation'!$A$56:$K$345,5,0)&amp;""</f>
      </c>
      <c r="F211" s="187">
        <f>VLOOKUP($A211,'Institution Evaluation'!$A$56:$K$345,6,0)&amp;""</f>
      </c>
      <c r="G211" s="30">
        <f>VLOOKUP($A211,'Institution Evaluation'!$A$56:$K$345,7,0)&amp;""</f>
      </c>
      <c r="H211" s="184">
        <f>VLOOKUP($A211,'Institution Evaluation'!$A$56:$K$345,8,0)&amp;""</f>
      </c>
      <c r="I211" s="45">
        <f>VLOOKUP($A211,'Institution Evaluation'!$A$56:$K$345,9,0)&amp;""</f>
      </c>
      <c r="J211" s="185">
        <f>VLOOKUP($A211,'Institution Evaluation'!$A$56:$K$345,10,0)&amp;""</f>
      </c>
      <c r="K211" s="48">
        <f>IF(VLOOKUP($A211,'Institution Evaluation'!$A$56:$K$345,10,0)=TRUE,'Auto Responses'!$J$3,"")</f>
      </c>
    </row>
    <row r="212" spans="1:11" s="1" customFormat="1" ht="18" x14ac:dyDescent="0.15">
      <c r="A212" s="63">
        <f>VLOOKUP(LEFT($A213,4),'Auto Responses'!$N$4:$O$38,2,0)&amp;""</f>
        <v xml:space="preserve"> Vulnerability Management</v>
      </c>
      <c r="B212" s="22"/>
      <c r="C212" s="31"/>
      <c r="D212" s="31"/>
      <c r="E212" s="324"/>
      <c r="F212" s="131" t="s">
        <v>1030</v>
      </c>
      <c r="G212" s="328" t="s">
        <v>869</v>
      </c>
      <c r="H212" s="328" t="s">
        <v>871</v>
      </c>
      <c r="I212" s="328" t="s">
        <v>19</v>
      </c>
      <c r="J212" s="328" t="s">
        <v>856</v>
      </c>
      <c r="K212" s="31"/>
    </row>
    <row r="213" spans="1:11" ht="68" x14ac:dyDescent="0.2">
      <c r="A213" s="19" t="s">
        <v>572</v>
      </c>
      <c r="B213" s="18">
        <f>VLOOKUP($A213,Questions!$A$2:$X$333,2,0)</f>
      </c>
      <c r="C213" s="45">
        <f>VLOOKUP($A213,'Institution Evaluation'!$A$56:$K$345,3,0)&amp;""</f>
      </c>
      <c r="D213" s="45">
        <f>VLOOKUP($A213,'Institution Evaluation'!$A$56:$K$345,4,0)&amp;""</f>
      </c>
      <c r="E213" s="323">
        <f>VLOOKUP($A213,'Institution Evaluation'!$A$56:$K$345,5,0)&amp;""</f>
      </c>
      <c r="F213" s="187">
        <f>VLOOKUP($A213,'Institution Evaluation'!$A$56:$K$345,6,0)&amp;""</f>
      </c>
      <c r="G213" s="30">
        <f>VLOOKUP($A213,'Institution Evaluation'!$A$56:$K$345,7,0)&amp;""</f>
      </c>
      <c r="H213" s="184">
        <f>VLOOKUP($A213,'Institution Evaluation'!$A$56:$K$345,8,0)&amp;""</f>
      </c>
      <c r="I213" s="45">
        <f>VLOOKUP($A213,'Institution Evaluation'!$A$56:$K$345,9,0)&amp;""</f>
      </c>
      <c r="J213" s="185">
        <f>VLOOKUP($A213,'Institution Evaluation'!$A$56:$K$345,10,0)&amp;""</f>
      </c>
      <c r="K213" s="48">
        <f>IF(VLOOKUP($A213,'Institution Evaluation'!$A$56:$K$345,10,0)=TRUE,'Auto Responses'!$J$3,"")</f>
      </c>
    </row>
    <row r="214" spans="1:11" ht="51" x14ac:dyDescent="0.2">
      <c r="A214" s="19" t="s">
        <v>575</v>
      </c>
      <c r="B214" s="18">
        <f>VLOOKUP($A214,Questions!$A$2:$X$333,2,0)</f>
      </c>
      <c r="C214" s="45">
        <f>VLOOKUP($A214,'Institution Evaluation'!$A$56:$K$345,3,0)&amp;""</f>
      </c>
      <c r="D214" s="45">
        <f>VLOOKUP($A214,'Institution Evaluation'!$A$56:$K$345,4,0)&amp;""</f>
      </c>
      <c r="E214" s="323">
        <f>VLOOKUP($A214,'Institution Evaluation'!$A$56:$K$345,5,0)&amp;""</f>
      </c>
      <c r="F214" s="187">
        <f>VLOOKUP($A214,'Institution Evaluation'!$A$56:$K$345,6,0)&amp;""</f>
      </c>
      <c r="G214" s="30">
        <f>VLOOKUP($A214,'Institution Evaluation'!$A$56:$K$345,7,0)&amp;""</f>
      </c>
      <c r="H214" s="184">
        <f>VLOOKUP($A214,'Institution Evaluation'!$A$56:$K$345,8,0)&amp;""</f>
      </c>
      <c r="I214" s="45">
        <f>VLOOKUP($A214,'Institution Evaluation'!$A$56:$K$345,9,0)&amp;""</f>
      </c>
      <c r="J214" s="185">
        <f>VLOOKUP($A214,'Institution Evaluation'!$A$56:$K$345,10,0)&amp;""</f>
      </c>
      <c r="K214" s="48">
        <f>IF(VLOOKUP($A214,'Institution Evaluation'!$A$56:$K$345,10,0)=TRUE,'Auto Responses'!$J$3,"")</f>
      </c>
    </row>
    <row r="215" spans="1:11" ht="51" x14ac:dyDescent="0.2">
      <c r="A215" s="19" t="s">
        <v>582</v>
      </c>
      <c r="B215" s="18">
        <f>VLOOKUP($A215,Questions!$A$2:$X$333,2,0)</f>
      </c>
      <c r="C215" s="45">
        <f>VLOOKUP($A215,'Institution Evaluation'!$A$56:$K$345,3,0)&amp;""</f>
      </c>
      <c r="D215" s="45">
        <f>VLOOKUP($A215,'Institution Evaluation'!$A$56:$K$345,4,0)&amp;""</f>
      </c>
      <c r="E215" s="323">
        <f>VLOOKUP($A215,'Institution Evaluation'!$A$56:$K$345,5,0)&amp;""</f>
      </c>
      <c r="F215" s="187">
        <f>VLOOKUP($A215,'Institution Evaluation'!$A$56:$K$345,6,0)&amp;""</f>
      </c>
      <c r="G215" s="30">
        <f>VLOOKUP($A215,'Institution Evaluation'!$A$56:$K$345,7,0)&amp;""</f>
      </c>
      <c r="H215" s="184">
        <f>VLOOKUP($A215,'Institution Evaluation'!$A$56:$K$345,8,0)&amp;""</f>
      </c>
      <c r="I215" s="45">
        <f>VLOOKUP($A215,'Institution Evaluation'!$A$56:$K$345,9,0)&amp;""</f>
      </c>
      <c r="J215" s="185">
        <f>VLOOKUP($A215,'Institution Evaluation'!$A$56:$K$345,10,0)&amp;""</f>
      </c>
      <c r="K215" s="48">
        <f>IF(VLOOKUP($A215,'Institution Evaluation'!$A$56:$K$345,10,0)=TRUE,'Auto Responses'!$J$3,"")</f>
      </c>
    </row>
    <row r="216" spans="1:11" ht="68" x14ac:dyDescent="0.2">
      <c r="A216" s="19" t="s">
        <v>587</v>
      </c>
      <c r="B216" s="18">
        <f>VLOOKUP($A216,Questions!$A$2:$X$333,2,0)</f>
      </c>
      <c r="C216" s="45">
        <f>VLOOKUP($A216,'Institution Evaluation'!$A$56:$K$345,3,0)&amp;""</f>
      </c>
      <c r="D216" s="45">
        <f>VLOOKUP($A216,'Institution Evaluation'!$A$56:$K$345,4,0)&amp;""</f>
      </c>
      <c r="E216" s="323">
        <f>VLOOKUP($A216,'Institution Evaluation'!$A$56:$K$345,5,0)&amp;""</f>
      </c>
      <c r="F216" s="187">
        <f>VLOOKUP($A216,'Institution Evaluation'!$A$56:$K$345,6,0)&amp;""</f>
      </c>
      <c r="G216" s="30">
        <f>VLOOKUP($A216,'Institution Evaluation'!$A$56:$K$345,7,0)&amp;""</f>
      </c>
      <c r="H216" s="184">
        <f>VLOOKUP($A216,'Institution Evaluation'!$A$56:$K$345,8,0)&amp;""</f>
      </c>
      <c r="I216" s="45">
        <f>VLOOKUP($A216,'Institution Evaluation'!$A$56:$K$345,9,0)&amp;""</f>
      </c>
      <c r="J216" s="185">
        <f>VLOOKUP($A216,'Institution Evaluation'!$A$56:$K$345,10,0)&amp;""</f>
      </c>
      <c r="K216" s="48">
        <f>IF(VLOOKUP($A216,'Institution Evaluation'!$A$56:$K$345,10,0)=TRUE,'Auto Responses'!$J$3,"")</f>
      </c>
    </row>
    <row r="217" spans="1:11" s="1" customFormat="1" ht="18" x14ac:dyDescent="0.15">
      <c r="A217" s="63">
        <f>VLOOKUP(LEFT($A218,4),'Auto Responses'!$N$4:$O$38,2,0)&amp;""</f>
        <v xml:space="preserve">HIPAA Compliance </v>
      </c>
      <c r="B217" s="22"/>
      <c r="C217" s="31"/>
      <c r="D217" s="31"/>
      <c r="E217" s="324"/>
      <c r="F217" s="131" t="s">
        <v>1030</v>
      </c>
      <c r="G217" s="328" t="s">
        <v>869</v>
      </c>
      <c r="H217" s="328" t="s">
        <v>871</v>
      </c>
      <c r="I217" s="328" t="s">
        <v>19</v>
      </c>
      <c r="J217" s="328" t="s">
        <v>856</v>
      </c>
      <c r="K217" s="31"/>
    </row>
    <row r="218" spans="1:11" ht="68" x14ac:dyDescent="0.2">
      <c r="A218" s="19" t="s">
        <v>590</v>
      </c>
      <c r="B218" s="18">
        <f>VLOOKUP($A218,Questions!$A$2:$X$333,2,0)</f>
      </c>
      <c r="C218" s="45">
        <f>VLOOKUP($A218,'Institution Evaluation'!$A$56:$K$345,3,0)&amp;""</f>
      </c>
      <c r="D218" s="45">
        <f>VLOOKUP($A218,'Institution Evaluation'!$A$56:$K$345,4,0)&amp;""</f>
      </c>
      <c r="E218" s="323">
        <f>VLOOKUP($A218,'Institution Evaluation'!$A$56:$K$345,5,0)&amp;""</f>
      </c>
      <c r="F218" s="187">
        <f>VLOOKUP($A218,'Institution Evaluation'!$A$56:$K$345,6,0)&amp;""</f>
      </c>
      <c r="G218" s="30">
        <f>VLOOKUP($A218,'Institution Evaluation'!$A$56:$K$345,7,0)&amp;""</f>
      </c>
      <c r="H218" s="184">
        <f>VLOOKUP($A218,'Institution Evaluation'!$A$56:$K$345,8,0)&amp;""</f>
      </c>
      <c r="I218" s="45">
        <f>VLOOKUP($A218,'Institution Evaluation'!$A$56:$K$345,9,0)&amp;""</f>
      </c>
      <c r="J218" s="185">
        <f>VLOOKUP($A218,'Institution Evaluation'!$A$56:$K$345,10,0)&amp;""</f>
      </c>
      <c r="K218" s="48">
        <f>IF(VLOOKUP($A218,'Institution Evaluation'!$A$56:$K$345,10,0)=TRUE,'Auto Responses'!$J$3,"")</f>
      </c>
    </row>
    <row r="219" spans="1:11" ht="68" x14ac:dyDescent="0.2">
      <c r="A219" s="19" t="s">
        <v>595</v>
      </c>
      <c r="B219" s="18">
        <f>VLOOKUP($A219,Questions!$A$2:$X$333,2,0)</f>
      </c>
      <c r="C219" s="45">
        <f>VLOOKUP($A219,'Institution Evaluation'!$A$56:$K$345,3,0)&amp;""</f>
      </c>
      <c r="D219" s="45">
        <f>VLOOKUP($A219,'Institution Evaluation'!$A$56:$K$345,4,0)&amp;""</f>
      </c>
      <c r="E219" s="323">
        <f>VLOOKUP($A219,'Institution Evaluation'!$A$56:$K$345,5,0)&amp;""</f>
      </c>
      <c r="F219" s="187">
        <f>VLOOKUP($A219,'Institution Evaluation'!$A$56:$K$345,6,0)&amp;""</f>
      </c>
      <c r="G219" s="30">
        <f>VLOOKUP($A219,'Institution Evaluation'!$A$56:$K$345,7,0)&amp;""</f>
      </c>
      <c r="H219" s="184">
        <f>VLOOKUP($A219,'Institution Evaluation'!$A$56:$K$345,8,0)&amp;""</f>
      </c>
      <c r="I219" s="45">
        <f>VLOOKUP($A219,'Institution Evaluation'!$A$56:$K$345,9,0)&amp;""</f>
      </c>
      <c r="J219" s="185">
        <f>VLOOKUP($A219,'Institution Evaluation'!$A$56:$K$345,10,0)&amp;""</f>
      </c>
      <c r="K219" s="48">
        <f>IF(VLOOKUP($A219,'Institution Evaluation'!$A$56:$K$345,10,0)=TRUE,'Auto Responses'!$J$3,"")</f>
      </c>
    </row>
    <row r="220" spans="1:11" ht="68" x14ac:dyDescent="0.2">
      <c r="A220" s="19" t="s">
        <v>597</v>
      </c>
      <c r="B220" s="18">
        <f>VLOOKUP($A220,Questions!$A$2:$X$333,2,0)</f>
      </c>
      <c r="C220" s="45">
        <f>VLOOKUP($A220,'Institution Evaluation'!$A$56:$K$345,3,0)&amp;""</f>
      </c>
      <c r="D220" s="45">
        <f>VLOOKUP($A220,'Institution Evaluation'!$A$56:$K$345,4,0)&amp;""</f>
      </c>
      <c r="E220" s="323">
        <f>VLOOKUP($A220,'Institution Evaluation'!$A$56:$K$345,5,0)&amp;""</f>
      </c>
      <c r="F220" s="187">
        <f>VLOOKUP($A220,'Institution Evaluation'!$A$56:$K$345,6,0)&amp;""</f>
      </c>
      <c r="G220" s="30">
        <f>VLOOKUP($A220,'Institution Evaluation'!$A$56:$K$345,7,0)&amp;""</f>
      </c>
      <c r="H220" s="184">
        <f>VLOOKUP($A220,'Institution Evaluation'!$A$56:$K$345,8,0)&amp;""</f>
      </c>
      <c r="I220" s="45">
        <f>VLOOKUP($A220,'Institution Evaluation'!$A$56:$K$345,9,0)&amp;""</f>
      </c>
      <c r="J220" s="185">
        <f>VLOOKUP($A220,'Institution Evaluation'!$A$56:$K$345,10,0)&amp;""</f>
      </c>
      <c r="K220" s="48">
        <f>IF(VLOOKUP($A220,'Institution Evaluation'!$A$56:$K$345,10,0)=TRUE,'Auto Responses'!$J$3,"")</f>
      </c>
    </row>
    <row r="221" spans="1:11" ht="68" x14ac:dyDescent="0.2">
      <c r="A221" s="19" t="s">
        <v>599</v>
      </c>
      <c r="B221" s="18">
        <f>VLOOKUP($A221,Questions!$A$2:$X$333,2,0)</f>
      </c>
      <c r="C221" s="45">
        <f>VLOOKUP($A221,'Institution Evaluation'!$A$56:$K$345,3,0)&amp;""</f>
      </c>
      <c r="D221" s="45">
        <f>VLOOKUP($A221,'Institution Evaluation'!$A$56:$K$345,4,0)&amp;""</f>
      </c>
      <c r="E221" s="323">
        <f>VLOOKUP($A221,'Institution Evaluation'!$A$56:$K$345,5,0)&amp;""</f>
      </c>
      <c r="F221" s="187">
        <f>VLOOKUP($A221,'Institution Evaluation'!$A$56:$K$345,6,0)&amp;""</f>
      </c>
      <c r="G221" s="30">
        <f>VLOOKUP($A221,'Institution Evaluation'!$A$56:$K$345,7,0)&amp;""</f>
      </c>
      <c r="H221" s="184">
        <f>VLOOKUP($A221,'Institution Evaluation'!$A$56:$K$345,8,0)&amp;""</f>
      </c>
      <c r="I221" s="45">
        <f>VLOOKUP($A221,'Institution Evaluation'!$A$56:$K$345,9,0)&amp;""</f>
      </c>
      <c r="J221" s="185">
        <f>VLOOKUP($A221,'Institution Evaluation'!$A$56:$K$345,10,0)&amp;""</f>
      </c>
      <c r="K221" s="48">
        <f>IF(VLOOKUP($A221,'Institution Evaluation'!$A$56:$K$345,10,0)=TRUE,'Auto Responses'!$J$3,"")</f>
      </c>
    </row>
    <row r="222" spans="1:11" ht="68" x14ac:dyDescent="0.2">
      <c r="A222" s="19" t="s">
        <v>601</v>
      </c>
      <c r="B222" s="18">
        <f>VLOOKUP($A222,Questions!$A$2:$X$333,2,0)</f>
      </c>
      <c r="C222" s="45">
        <f>VLOOKUP($A222,'Institution Evaluation'!$A$56:$K$345,3,0)&amp;""</f>
      </c>
      <c r="D222" s="45">
        <f>VLOOKUP($A222,'Institution Evaluation'!$A$56:$K$345,4,0)&amp;""</f>
      </c>
      <c r="E222" s="323">
        <f>VLOOKUP($A222,'Institution Evaluation'!$A$56:$K$345,5,0)&amp;""</f>
      </c>
      <c r="F222" s="187">
        <f>VLOOKUP($A222,'Institution Evaluation'!$A$56:$K$345,6,0)&amp;""</f>
      </c>
      <c r="G222" s="30">
        <f>VLOOKUP($A222,'Institution Evaluation'!$A$56:$K$345,7,0)&amp;""</f>
      </c>
      <c r="H222" s="184">
        <f>VLOOKUP($A222,'Institution Evaluation'!$A$56:$K$345,8,0)&amp;""</f>
      </c>
      <c r="I222" s="45">
        <f>VLOOKUP($A222,'Institution Evaluation'!$A$56:$K$345,9,0)&amp;""</f>
      </c>
      <c r="J222" s="185">
        <f>VLOOKUP($A222,'Institution Evaluation'!$A$56:$K$345,10,0)&amp;""</f>
      </c>
      <c r="K222" s="48">
        <f>IF(VLOOKUP($A222,'Institution Evaluation'!$A$56:$K$345,10,0)=TRUE,'Auto Responses'!$J$3,"")</f>
      </c>
    </row>
    <row r="223" spans="1:11" ht="68" x14ac:dyDescent="0.2">
      <c r="A223" s="19" t="s">
        <v>602</v>
      </c>
      <c r="B223" s="18">
        <f>VLOOKUP($A223,Questions!$A$2:$X$333,2,0)</f>
      </c>
      <c r="C223" s="45">
        <f>VLOOKUP($A223,'Institution Evaluation'!$A$56:$K$345,3,0)&amp;""</f>
      </c>
      <c r="D223" s="45">
        <f>VLOOKUP($A223,'Institution Evaluation'!$A$56:$K$345,4,0)&amp;""</f>
      </c>
      <c r="E223" s="323">
        <f>VLOOKUP($A223,'Institution Evaluation'!$A$56:$K$345,5,0)&amp;""</f>
      </c>
      <c r="F223" s="187">
        <f>VLOOKUP($A223,'Institution Evaluation'!$A$56:$K$345,6,0)&amp;""</f>
      </c>
      <c r="G223" s="30">
        <f>VLOOKUP($A223,'Institution Evaluation'!$A$56:$K$345,7,0)&amp;""</f>
      </c>
      <c r="H223" s="184">
        <f>VLOOKUP($A223,'Institution Evaluation'!$A$56:$K$345,8,0)&amp;""</f>
      </c>
      <c r="I223" s="45">
        <f>VLOOKUP($A223,'Institution Evaluation'!$A$56:$K$345,9,0)&amp;""</f>
      </c>
      <c r="J223" s="185">
        <f>VLOOKUP($A223,'Institution Evaluation'!$A$56:$K$345,10,0)&amp;""</f>
      </c>
      <c r="K223" s="48">
        <f>IF(VLOOKUP($A223,'Institution Evaluation'!$A$56:$K$345,10,0)=TRUE,'Auto Responses'!$J$3,"")</f>
      </c>
    </row>
    <row r="224" spans="1:11" ht="68" x14ac:dyDescent="0.2">
      <c r="A224" s="19" t="s">
        <v>603</v>
      </c>
      <c r="B224" s="18">
        <f>VLOOKUP($A224,Questions!$A$2:$X$333,2,0)</f>
      </c>
      <c r="C224" s="45">
        <f>VLOOKUP($A224,'Institution Evaluation'!$A$56:$K$345,3,0)&amp;""</f>
      </c>
      <c r="D224" s="45">
        <f>VLOOKUP($A224,'Institution Evaluation'!$A$56:$K$345,4,0)&amp;""</f>
      </c>
      <c r="E224" s="323">
        <f>VLOOKUP($A224,'Institution Evaluation'!$A$56:$K$345,5,0)&amp;""</f>
      </c>
      <c r="F224" s="187">
        <f>VLOOKUP($A224,'Institution Evaluation'!$A$56:$K$345,6,0)&amp;""</f>
      </c>
      <c r="G224" s="30">
        <f>VLOOKUP($A224,'Institution Evaluation'!$A$56:$K$345,7,0)&amp;""</f>
      </c>
      <c r="H224" s="184">
        <f>VLOOKUP($A224,'Institution Evaluation'!$A$56:$K$345,8,0)&amp;""</f>
      </c>
      <c r="I224" s="45">
        <f>VLOOKUP($A224,'Institution Evaluation'!$A$56:$K$345,9,0)&amp;""</f>
      </c>
      <c r="J224" s="185">
        <f>VLOOKUP($A224,'Institution Evaluation'!$A$56:$K$345,10,0)&amp;""</f>
      </c>
      <c r="K224" s="48">
        <f>IF(VLOOKUP($A224,'Institution Evaluation'!$A$56:$K$345,10,0)=TRUE,'Auto Responses'!$J$3,"")</f>
      </c>
    </row>
    <row r="225" spans="1:11" ht="68" x14ac:dyDescent="0.2">
      <c r="A225" s="19" t="s">
        <v>605</v>
      </c>
      <c r="B225" s="18">
        <f>VLOOKUP($A225,Questions!$A$2:$X$333,2,0)</f>
      </c>
      <c r="C225" s="45">
        <f>VLOOKUP($A225,'Institution Evaluation'!$A$56:$K$345,3,0)&amp;""</f>
      </c>
      <c r="D225" s="45">
        <f>VLOOKUP($A225,'Institution Evaluation'!$A$56:$K$345,4,0)&amp;""</f>
      </c>
      <c r="E225" s="323">
        <f>VLOOKUP($A225,'Institution Evaluation'!$A$56:$K$345,5,0)&amp;""</f>
      </c>
      <c r="F225" s="187">
        <f>VLOOKUP($A225,'Institution Evaluation'!$A$56:$K$345,6,0)&amp;""</f>
      </c>
      <c r="G225" s="30">
        <f>VLOOKUP($A225,'Institution Evaluation'!$A$56:$K$345,7,0)&amp;""</f>
      </c>
      <c r="H225" s="184">
        <f>VLOOKUP($A225,'Institution Evaluation'!$A$56:$K$345,8,0)&amp;""</f>
      </c>
      <c r="I225" s="45">
        <f>VLOOKUP($A225,'Institution Evaluation'!$A$56:$K$345,9,0)&amp;""</f>
      </c>
      <c r="J225" s="185">
        <f>VLOOKUP($A225,'Institution Evaluation'!$A$56:$K$345,10,0)&amp;""</f>
      </c>
      <c r="K225" s="48">
        <f>IF(VLOOKUP($A225,'Institution Evaluation'!$A$56:$K$345,10,0)=TRUE,'Auto Responses'!$J$3,"")</f>
      </c>
    </row>
    <row r="226" spans="1:11" ht="68" x14ac:dyDescent="0.2">
      <c r="A226" s="19" t="s">
        <v>607</v>
      </c>
      <c r="B226" s="18">
        <f>VLOOKUP($A226,Questions!$A$2:$X$333,2,0)</f>
      </c>
      <c r="C226" s="45">
        <f>VLOOKUP($A226,'Institution Evaluation'!$A$56:$K$345,3,0)&amp;""</f>
      </c>
      <c r="D226" s="45">
        <f>VLOOKUP($A226,'Institution Evaluation'!$A$56:$K$345,4,0)&amp;""</f>
      </c>
      <c r="E226" s="323">
        <f>VLOOKUP($A226,'Institution Evaluation'!$A$56:$K$345,5,0)&amp;""</f>
      </c>
      <c r="F226" s="187">
        <f>VLOOKUP($A226,'Institution Evaluation'!$A$56:$K$345,6,0)&amp;""</f>
      </c>
      <c r="G226" s="30">
        <f>VLOOKUP($A226,'Institution Evaluation'!$A$56:$K$345,7,0)&amp;""</f>
      </c>
      <c r="H226" s="184">
        <f>VLOOKUP($A226,'Institution Evaluation'!$A$56:$K$345,8,0)&amp;""</f>
      </c>
      <c r="I226" s="45">
        <f>VLOOKUP($A226,'Institution Evaluation'!$A$56:$K$345,9,0)&amp;""</f>
      </c>
      <c r="J226" s="185">
        <f>VLOOKUP($A226,'Institution Evaluation'!$A$56:$K$345,10,0)&amp;""</f>
      </c>
      <c r="K226" s="48">
        <f>IF(VLOOKUP($A226,'Institution Evaluation'!$A$56:$K$345,10,0)=TRUE,'Auto Responses'!$J$3,"")</f>
      </c>
    </row>
    <row r="227" spans="1:11" ht="68" x14ac:dyDescent="0.2">
      <c r="A227" s="19" t="s">
        <v>609</v>
      </c>
      <c r="B227" s="18">
        <f>VLOOKUP($A227,Questions!$A$2:$X$333,2,0)</f>
      </c>
      <c r="C227" s="45">
        <f>VLOOKUP($A227,'Institution Evaluation'!$A$56:$K$345,3,0)&amp;""</f>
      </c>
      <c r="D227" s="45">
        <f>VLOOKUP($A227,'Institution Evaluation'!$A$56:$K$345,4,0)&amp;""</f>
      </c>
      <c r="E227" s="323">
        <f>VLOOKUP($A227,'Institution Evaluation'!$A$56:$K$345,5,0)&amp;""</f>
      </c>
      <c r="F227" s="187">
        <f>VLOOKUP($A227,'Institution Evaluation'!$A$56:$K$345,6,0)&amp;""</f>
      </c>
      <c r="G227" s="30">
        <f>VLOOKUP($A227,'Institution Evaluation'!$A$56:$K$345,7,0)&amp;""</f>
      </c>
      <c r="H227" s="184">
        <f>VLOOKUP($A227,'Institution Evaluation'!$A$56:$K$345,8,0)&amp;""</f>
      </c>
      <c r="I227" s="45">
        <f>VLOOKUP($A227,'Institution Evaluation'!$A$56:$K$345,9,0)&amp;""</f>
      </c>
      <c r="J227" s="185">
        <f>VLOOKUP($A227,'Institution Evaluation'!$A$56:$K$345,10,0)&amp;""</f>
      </c>
      <c r="K227" s="48">
        <f>IF(VLOOKUP($A227,'Institution Evaluation'!$A$56:$K$345,10,0)=TRUE,'Auto Responses'!$J$3,"")</f>
      </c>
    </row>
    <row r="228" spans="1:11" ht="68" x14ac:dyDescent="0.2">
      <c r="A228" s="19" t="s">
        <v>611</v>
      </c>
      <c r="B228" s="18">
        <f>VLOOKUP($A228,Questions!$A$2:$X$333,2,0)</f>
      </c>
      <c r="C228" s="45">
        <f>VLOOKUP($A228,'Institution Evaluation'!$A$56:$K$345,3,0)&amp;""</f>
      </c>
      <c r="D228" s="45">
        <f>VLOOKUP($A228,'Institution Evaluation'!$A$56:$K$345,4,0)&amp;""</f>
      </c>
      <c r="E228" s="323">
        <f>VLOOKUP($A228,'Institution Evaluation'!$A$56:$K$345,5,0)&amp;""</f>
      </c>
      <c r="F228" s="187">
        <f>VLOOKUP($A228,'Institution Evaluation'!$A$56:$K$345,6,0)&amp;""</f>
      </c>
      <c r="G228" s="30">
        <f>VLOOKUP($A228,'Institution Evaluation'!$A$56:$K$345,7,0)&amp;""</f>
      </c>
      <c r="H228" s="184">
        <f>VLOOKUP($A228,'Institution Evaluation'!$A$56:$K$345,8,0)&amp;""</f>
      </c>
      <c r="I228" s="45">
        <f>VLOOKUP($A228,'Institution Evaluation'!$A$56:$K$345,9,0)&amp;""</f>
      </c>
      <c r="J228" s="185">
        <f>VLOOKUP($A228,'Institution Evaluation'!$A$56:$K$345,10,0)&amp;""</f>
      </c>
      <c r="K228" s="48">
        <f>IF(VLOOKUP($A228,'Institution Evaluation'!$A$56:$K$345,10,0)=TRUE,'Auto Responses'!$J$3,"")</f>
      </c>
    </row>
    <row r="229" spans="1:11" ht="68" x14ac:dyDescent="0.2">
      <c r="A229" s="19" t="s">
        <v>613</v>
      </c>
      <c r="B229" s="18">
        <f>VLOOKUP($A229,Questions!$A$2:$X$333,2,0)</f>
      </c>
      <c r="C229" s="45">
        <f>VLOOKUP($A229,'Institution Evaluation'!$A$56:$K$345,3,0)&amp;""</f>
      </c>
      <c r="D229" s="45">
        <f>VLOOKUP($A229,'Institution Evaluation'!$A$56:$K$345,4,0)&amp;""</f>
      </c>
      <c r="E229" s="323">
        <f>VLOOKUP($A229,'Institution Evaluation'!$A$56:$K$345,5,0)&amp;""</f>
      </c>
      <c r="F229" s="187">
        <f>VLOOKUP($A229,'Institution Evaluation'!$A$56:$K$345,6,0)&amp;""</f>
      </c>
      <c r="G229" s="30">
        <f>VLOOKUP($A229,'Institution Evaluation'!$A$56:$K$345,7,0)&amp;""</f>
      </c>
      <c r="H229" s="184">
        <f>VLOOKUP($A229,'Institution Evaluation'!$A$56:$K$345,8,0)&amp;""</f>
      </c>
      <c r="I229" s="45">
        <f>VLOOKUP($A229,'Institution Evaluation'!$A$56:$K$345,9,0)&amp;""</f>
      </c>
      <c r="J229" s="185">
        <f>VLOOKUP($A229,'Institution Evaluation'!$A$56:$K$345,10,0)&amp;""</f>
      </c>
      <c r="K229" s="48">
        <f>IF(VLOOKUP($A229,'Institution Evaluation'!$A$56:$K$345,10,0)=TRUE,'Auto Responses'!$J$3,"")</f>
      </c>
    </row>
    <row r="230" spans="1:11" ht="68" x14ac:dyDescent="0.2">
      <c r="A230" s="19" t="s">
        <v>615</v>
      </c>
      <c r="B230" s="18">
        <f>VLOOKUP($A230,Questions!$A$2:$X$333,2,0)</f>
      </c>
      <c r="C230" s="45">
        <f>VLOOKUP($A230,'Institution Evaluation'!$A$56:$K$345,3,0)&amp;""</f>
      </c>
      <c r="D230" s="45">
        <f>VLOOKUP($A230,'Institution Evaluation'!$A$56:$K$345,4,0)&amp;""</f>
      </c>
      <c r="E230" s="323">
        <f>VLOOKUP($A230,'Institution Evaluation'!$A$56:$K$345,5,0)&amp;""</f>
      </c>
      <c r="F230" s="187">
        <f>VLOOKUP($A230,'Institution Evaluation'!$A$56:$K$345,6,0)&amp;""</f>
      </c>
      <c r="G230" s="30">
        <f>VLOOKUP($A230,'Institution Evaluation'!$A$56:$K$345,7,0)&amp;""</f>
      </c>
      <c r="H230" s="184">
        <f>VLOOKUP($A230,'Institution Evaluation'!$A$56:$K$345,8,0)&amp;""</f>
      </c>
      <c r="I230" s="45">
        <f>VLOOKUP($A230,'Institution Evaluation'!$A$56:$K$345,9,0)&amp;""</f>
      </c>
      <c r="J230" s="185">
        <f>VLOOKUP($A230,'Institution Evaluation'!$A$56:$K$345,10,0)&amp;""</f>
      </c>
      <c r="K230" s="48">
        <f>IF(VLOOKUP($A230,'Institution Evaluation'!$A$56:$K$345,10,0)=TRUE,'Auto Responses'!$J$3,"")</f>
      </c>
    </row>
    <row r="231" spans="1:11" ht="68" x14ac:dyDescent="0.2">
      <c r="A231" s="19" t="s">
        <v>617</v>
      </c>
      <c r="B231" s="18">
        <f>VLOOKUP($A231,Questions!$A$2:$X$333,2,0)</f>
      </c>
      <c r="C231" s="45">
        <f>VLOOKUP($A231,'Institution Evaluation'!$A$56:$K$345,3,0)&amp;""</f>
      </c>
      <c r="D231" s="45">
        <f>VLOOKUP($A231,'Institution Evaluation'!$A$56:$K$345,4,0)&amp;""</f>
      </c>
      <c r="E231" s="323">
        <f>VLOOKUP($A231,'Institution Evaluation'!$A$56:$K$345,5,0)&amp;""</f>
      </c>
      <c r="F231" s="187">
        <f>VLOOKUP($A231,'Institution Evaluation'!$A$56:$K$345,6,0)&amp;""</f>
      </c>
      <c r="G231" s="30">
        <f>VLOOKUP($A231,'Institution Evaluation'!$A$56:$K$345,7,0)&amp;""</f>
      </c>
      <c r="H231" s="184">
        <f>VLOOKUP($A231,'Institution Evaluation'!$A$56:$K$345,8,0)&amp;""</f>
      </c>
      <c r="I231" s="45">
        <f>VLOOKUP($A231,'Institution Evaluation'!$A$56:$K$345,9,0)&amp;""</f>
      </c>
      <c r="J231" s="185">
        <f>VLOOKUP($A231,'Institution Evaluation'!$A$56:$K$345,10,0)&amp;""</f>
      </c>
      <c r="K231" s="48">
        <f>IF(VLOOKUP($A231,'Institution Evaluation'!$A$56:$K$345,10,0)=TRUE,'Auto Responses'!$J$3,"")</f>
      </c>
    </row>
    <row r="232" spans="1:11" ht="68" x14ac:dyDescent="0.2">
      <c r="A232" s="19" t="s">
        <v>619</v>
      </c>
      <c r="B232" s="18">
        <f>VLOOKUP($A232,Questions!$A$2:$X$333,2,0)</f>
      </c>
      <c r="C232" s="45">
        <f>VLOOKUP($A232,'Institution Evaluation'!$A$56:$K$345,3,0)&amp;""</f>
      </c>
      <c r="D232" s="45">
        <f>VLOOKUP($A232,'Institution Evaluation'!$A$56:$K$345,4,0)&amp;""</f>
      </c>
      <c r="E232" s="323">
        <f>VLOOKUP($A232,'Institution Evaluation'!$A$56:$K$345,5,0)&amp;""</f>
      </c>
      <c r="F232" s="187">
        <f>VLOOKUP($A232,'Institution Evaluation'!$A$56:$K$345,6,0)&amp;""</f>
      </c>
      <c r="G232" s="30">
        <f>VLOOKUP($A232,'Institution Evaluation'!$A$56:$K$345,7,0)&amp;""</f>
      </c>
      <c r="H232" s="184">
        <f>VLOOKUP($A232,'Institution Evaluation'!$A$56:$K$345,8,0)&amp;""</f>
      </c>
      <c r="I232" s="45">
        <f>VLOOKUP($A232,'Institution Evaluation'!$A$56:$K$345,9,0)&amp;""</f>
      </c>
      <c r="J232" s="185">
        <f>VLOOKUP($A232,'Institution Evaluation'!$A$56:$K$345,10,0)&amp;""</f>
      </c>
      <c r="K232" s="48">
        <f>IF(VLOOKUP($A232,'Institution Evaluation'!$A$56:$K$345,10,0)=TRUE,'Auto Responses'!$J$3,"")</f>
      </c>
    </row>
    <row r="233" spans="1:11" ht="68" x14ac:dyDescent="0.2">
      <c r="A233" s="19" t="s">
        <v>621</v>
      </c>
      <c r="B233" s="18">
        <f>VLOOKUP($A233,Questions!$A$2:$X$333,2,0)</f>
      </c>
      <c r="C233" s="45">
        <f>VLOOKUP($A233,'Institution Evaluation'!$A$56:$K$345,3,0)&amp;""</f>
      </c>
      <c r="D233" s="45">
        <f>VLOOKUP($A233,'Institution Evaluation'!$A$56:$K$345,4,0)&amp;""</f>
      </c>
      <c r="E233" s="323">
        <f>VLOOKUP($A233,'Institution Evaluation'!$A$56:$K$345,5,0)&amp;""</f>
      </c>
      <c r="F233" s="187">
        <f>VLOOKUP($A233,'Institution Evaluation'!$A$56:$K$345,6,0)&amp;""</f>
      </c>
      <c r="G233" s="30">
        <f>VLOOKUP($A233,'Institution Evaluation'!$A$56:$K$345,7,0)&amp;""</f>
      </c>
      <c r="H233" s="184">
        <f>VLOOKUP($A233,'Institution Evaluation'!$A$56:$K$345,8,0)&amp;""</f>
      </c>
      <c r="I233" s="45">
        <f>VLOOKUP($A233,'Institution Evaluation'!$A$56:$K$345,9,0)&amp;""</f>
      </c>
      <c r="J233" s="185">
        <f>VLOOKUP($A233,'Institution Evaluation'!$A$56:$K$345,10,0)&amp;""</f>
      </c>
      <c r="K233" s="48">
        <f>IF(VLOOKUP($A233,'Institution Evaluation'!$A$56:$K$345,10,0)=TRUE,'Auto Responses'!$J$3,"")</f>
      </c>
    </row>
    <row r="234" spans="1:11" ht="68" x14ac:dyDescent="0.2">
      <c r="A234" s="19" t="s">
        <v>623</v>
      </c>
      <c r="B234" s="18">
        <f>VLOOKUP($A234,Questions!$A$2:$X$333,2,0)</f>
      </c>
      <c r="C234" s="45">
        <f>VLOOKUP($A234,'Institution Evaluation'!$A$56:$K$345,3,0)&amp;""</f>
      </c>
      <c r="D234" s="45">
        <f>VLOOKUP($A234,'Institution Evaluation'!$A$56:$K$345,4,0)&amp;""</f>
      </c>
      <c r="E234" s="323">
        <f>VLOOKUP($A234,'Institution Evaluation'!$A$56:$K$345,5,0)&amp;""</f>
      </c>
      <c r="F234" s="187">
        <f>VLOOKUP($A234,'Institution Evaluation'!$A$56:$K$345,6,0)&amp;""</f>
      </c>
      <c r="G234" s="30">
        <f>VLOOKUP($A234,'Institution Evaluation'!$A$56:$K$345,7,0)&amp;""</f>
      </c>
      <c r="H234" s="184">
        <f>VLOOKUP($A234,'Institution Evaluation'!$A$56:$K$345,8,0)&amp;""</f>
      </c>
      <c r="I234" s="45">
        <f>VLOOKUP($A234,'Institution Evaluation'!$A$56:$K$345,9,0)&amp;""</f>
      </c>
      <c r="J234" s="185">
        <f>VLOOKUP($A234,'Institution Evaluation'!$A$56:$K$345,10,0)&amp;""</f>
      </c>
      <c r="K234" s="48">
        <f>IF(VLOOKUP($A234,'Institution Evaluation'!$A$56:$K$345,10,0)=TRUE,'Auto Responses'!$J$3,"")</f>
      </c>
    </row>
    <row r="235" spans="1:11" ht="68" x14ac:dyDescent="0.2">
      <c r="A235" s="19" t="s">
        <v>625</v>
      </c>
      <c r="B235" s="18">
        <f>VLOOKUP($A235,Questions!$A$2:$X$333,2,0)</f>
      </c>
      <c r="C235" s="45">
        <f>VLOOKUP($A235,'Institution Evaluation'!$A$56:$K$345,3,0)&amp;""</f>
      </c>
      <c r="D235" s="45">
        <f>VLOOKUP($A235,'Institution Evaluation'!$A$56:$K$345,4,0)&amp;""</f>
      </c>
      <c r="E235" s="323">
        <f>VLOOKUP($A235,'Institution Evaluation'!$A$56:$K$345,5,0)&amp;""</f>
      </c>
      <c r="F235" s="187">
        <f>VLOOKUP($A235,'Institution Evaluation'!$A$56:$K$345,6,0)&amp;""</f>
      </c>
      <c r="G235" s="30">
        <f>VLOOKUP($A235,'Institution Evaluation'!$A$56:$K$345,7,0)&amp;""</f>
      </c>
      <c r="H235" s="184">
        <f>VLOOKUP($A235,'Institution Evaluation'!$A$56:$K$345,8,0)&amp;""</f>
      </c>
      <c r="I235" s="45">
        <f>VLOOKUP($A235,'Institution Evaluation'!$A$56:$K$345,9,0)&amp;""</f>
      </c>
      <c r="J235" s="185">
        <f>VLOOKUP($A235,'Institution Evaluation'!$A$56:$K$345,10,0)&amp;""</f>
      </c>
      <c r="K235" s="48">
        <f>IF(VLOOKUP($A235,'Institution Evaluation'!$A$56:$K$345,10,0)=TRUE,'Auto Responses'!$J$3,"")</f>
      </c>
    </row>
    <row r="236" spans="1:11" ht="68" x14ac:dyDescent="0.2">
      <c r="A236" s="19" t="s">
        <v>626</v>
      </c>
      <c r="B236" s="18">
        <f>VLOOKUP($A236,Questions!$A$2:$X$333,2,0)</f>
      </c>
      <c r="C236" s="45">
        <f>VLOOKUP($A236,'Institution Evaluation'!$A$56:$K$345,3,0)&amp;""</f>
      </c>
      <c r="D236" s="45">
        <f>VLOOKUP($A236,'Institution Evaluation'!$A$56:$K$345,4,0)&amp;""</f>
      </c>
      <c r="E236" s="323">
        <f>VLOOKUP($A236,'Institution Evaluation'!$A$56:$K$345,5,0)&amp;""</f>
      </c>
      <c r="F236" s="187">
        <f>VLOOKUP($A236,'Institution Evaluation'!$A$56:$K$345,6,0)&amp;""</f>
      </c>
      <c r="G236" s="30">
        <f>VLOOKUP($A236,'Institution Evaluation'!$A$56:$K$345,7,0)&amp;""</f>
      </c>
      <c r="H236" s="184">
        <f>VLOOKUP($A236,'Institution Evaluation'!$A$56:$K$345,8,0)&amp;""</f>
      </c>
      <c r="I236" s="45">
        <f>VLOOKUP($A236,'Institution Evaluation'!$A$56:$K$345,9,0)&amp;""</f>
      </c>
      <c r="J236" s="185">
        <f>VLOOKUP($A236,'Institution Evaluation'!$A$56:$K$345,10,0)&amp;""</f>
      </c>
      <c r="K236" s="48">
        <f>IF(VLOOKUP($A236,'Institution Evaluation'!$A$56:$K$345,10,0)=TRUE,'Auto Responses'!$J$3,"")</f>
      </c>
    </row>
    <row r="237" spans="1:11" ht="68" x14ac:dyDescent="0.2">
      <c r="A237" s="19" t="s">
        <v>628</v>
      </c>
      <c r="B237" s="18">
        <f>VLOOKUP($A237,Questions!$A$2:$X$333,2,0)</f>
      </c>
      <c r="C237" s="45">
        <f>VLOOKUP($A237,'Institution Evaluation'!$A$56:$K$345,3,0)&amp;""</f>
      </c>
      <c r="D237" s="45">
        <f>VLOOKUP($A237,'Institution Evaluation'!$A$56:$K$345,4,0)&amp;""</f>
      </c>
      <c r="E237" s="323">
        <f>VLOOKUP($A237,'Institution Evaluation'!$A$56:$K$345,5,0)&amp;""</f>
      </c>
      <c r="F237" s="187">
        <f>VLOOKUP($A237,'Institution Evaluation'!$A$56:$K$345,6,0)&amp;""</f>
      </c>
      <c r="G237" s="30">
        <f>VLOOKUP($A237,'Institution Evaluation'!$A$56:$K$345,7,0)&amp;""</f>
      </c>
      <c r="H237" s="184">
        <f>VLOOKUP($A237,'Institution Evaluation'!$A$56:$K$345,8,0)&amp;""</f>
      </c>
      <c r="I237" s="45">
        <f>VLOOKUP($A237,'Institution Evaluation'!$A$56:$K$345,9,0)&amp;""</f>
      </c>
      <c r="J237" s="185">
        <f>VLOOKUP($A237,'Institution Evaluation'!$A$56:$K$345,10,0)&amp;""</f>
      </c>
      <c r="K237" s="48">
        <f>IF(VLOOKUP($A237,'Institution Evaluation'!$A$56:$K$345,10,0)=TRUE,'Auto Responses'!$J$3,"")</f>
      </c>
    </row>
    <row r="238" spans="1:11" ht="68" x14ac:dyDescent="0.2">
      <c r="A238" s="19" t="s">
        <v>629</v>
      </c>
      <c r="B238" s="18">
        <f>VLOOKUP($A238,Questions!$A$2:$X$333,2,0)</f>
      </c>
      <c r="C238" s="45">
        <f>VLOOKUP($A238,'Institution Evaluation'!$A$56:$K$345,3,0)&amp;""</f>
      </c>
      <c r="D238" s="45">
        <f>VLOOKUP($A238,'Institution Evaluation'!$A$56:$K$345,4,0)&amp;""</f>
      </c>
      <c r="E238" s="323">
        <f>VLOOKUP($A238,'Institution Evaluation'!$A$56:$K$345,5,0)&amp;""</f>
      </c>
      <c r="F238" s="187">
        <f>VLOOKUP($A238,'Institution Evaluation'!$A$56:$K$345,6,0)&amp;""</f>
      </c>
      <c r="G238" s="30">
        <f>VLOOKUP($A238,'Institution Evaluation'!$A$56:$K$345,7,0)&amp;""</f>
      </c>
      <c r="H238" s="184">
        <f>VLOOKUP($A238,'Institution Evaluation'!$A$56:$K$345,8,0)&amp;""</f>
      </c>
      <c r="I238" s="45">
        <f>VLOOKUP($A238,'Institution Evaluation'!$A$56:$K$345,9,0)&amp;""</f>
      </c>
      <c r="J238" s="185">
        <f>VLOOKUP($A238,'Institution Evaluation'!$A$56:$K$345,10,0)&amp;""</f>
      </c>
      <c r="K238" s="48">
        <f>IF(VLOOKUP($A238,'Institution Evaluation'!$A$56:$K$345,10,0)=TRUE,'Auto Responses'!$J$3,"")</f>
      </c>
    </row>
    <row r="239" spans="1:11" ht="68" x14ac:dyDescent="0.2">
      <c r="A239" s="19" t="s">
        <v>630</v>
      </c>
      <c r="B239" s="18">
        <f>VLOOKUP($A239,Questions!$A$2:$X$333,2,0)</f>
      </c>
      <c r="C239" s="45">
        <f>VLOOKUP($A239,'Institution Evaluation'!$A$56:$K$345,3,0)&amp;""</f>
      </c>
      <c r="D239" s="45">
        <f>VLOOKUP($A239,'Institution Evaluation'!$A$56:$K$345,4,0)&amp;""</f>
      </c>
      <c r="E239" s="323">
        <f>VLOOKUP($A239,'Institution Evaluation'!$A$56:$K$345,5,0)&amp;""</f>
      </c>
      <c r="F239" s="187">
        <f>VLOOKUP($A239,'Institution Evaluation'!$A$56:$K$345,6,0)&amp;""</f>
      </c>
      <c r="G239" s="30">
        <f>VLOOKUP($A239,'Institution Evaluation'!$A$56:$K$345,7,0)&amp;""</f>
      </c>
      <c r="H239" s="184">
        <f>VLOOKUP($A239,'Institution Evaluation'!$A$56:$K$345,8,0)&amp;""</f>
      </c>
      <c r="I239" s="45">
        <f>VLOOKUP($A239,'Institution Evaluation'!$A$56:$K$345,9,0)&amp;""</f>
      </c>
      <c r="J239" s="185">
        <f>VLOOKUP($A239,'Institution Evaluation'!$A$56:$K$345,10,0)&amp;""</f>
      </c>
      <c r="K239" s="48">
        <f>IF(VLOOKUP($A239,'Institution Evaluation'!$A$56:$K$345,10,0)=TRUE,'Auto Responses'!$J$3,"")</f>
      </c>
    </row>
    <row r="240" spans="1:11" ht="68" x14ac:dyDescent="0.2">
      <c r="A240" s="19" t="s">
        <v>632</v>
      </c>
      <c r="B240" s="18">
        <f>VLOOKUP($A240,Questions!$A$2:$X$333,2,0)</f>
      </c>
      <c r="C240" s="45">
        <f>VLOOKUP($A240,'Institution Evaluation'!$A$56:$K$345,3,0)&amp;""</f>
      </c>
      <c r="D240" s="45">
        <f>VLOOKUP($A240,'Institution Evaluation'!$A$56:$K$345,4,0)&amp;""</f>
      </c>
      <c r="E240" s="323">
        <f>VLOOKUP($A240,'Institution Evaluation'!$A$56:$K$345,5,0)&amp;""</f>
      </c>
      <c r="F240" s="187">
        <f>VLOOKUP($A240,'Institution Evaluation'!$A$56:$K$345,6,0)&amp;""</f>
      </c>
      <c r="G240" s="30">
        <f>VLOOKUP($A240,'Institution Evaluation'!$A$56:$K$345,7,0)&amp;""</f>
      </c>
      <c r="H240" s="184">
        <f>VLOOKUP($A240,'Institution Evaluation'!$A$56:$K$345,8,0)&amp;""</f>
      </c>
      <c r="I240" s="45">
        <f>VLOOKUP($A240,'Institution Evaluation'!$A$56:$K$345,9,0)&amp;""</f>
      </c>
      <c r="J240" s="185">
        <f>VLOOKUP($A240,'Institution Evaluation'!$A$56:$K$345,10,0)&amp;""</f>
      </c>
      <c r="K240" s="48">
        <f>IF(VLOOKUP($A240,'Institution Evaluation'!$A$56:$K$345,10,0)=TRUE,'Auto Responses'!$J$3,"")</f>
      </c>
    </row>
    <row r="241" spans="1:14" ht="68" x14ac:dyDescent="0.2">
      <c r="A241" s="19" t="s">
        <v>634</v>
      </c>
      <c r="B241" s="18">
        <f>VLOOKUP($A241,Questions!$A$2:$X$333,2,0)</f>
      </c>
      <c r="C241" s="45">
        <f>VLOOKUP($A241,'Institution Evaluation'!$A$56:$K$345,3,0)&amp;""</f>
      </c>
      <c r="D241" s="45">
        <f>VLOOKUP($A241,'Institution Evaluation'!$A$56:$K$345,4,0)&amp;""</f>
      </c>
      <c r="E241" s="323">
        <f>VLOOKUP($A241,'Institution Evaluation'!$A$56:$K$345,5,0)&amp;""</f>
      </c>
      <c r="F241" s="187">
        <f>VLOOKUP($A241,'Institution Evaluation'!$A$56:$K$345,6,0)&amp;""</f>
      </c>
      <c r="G241" s="30">
        <f>VLOOKUP($A241,'Institution Evaluation'!$A$56:$K$345,7,0)&amp;""</f>
      </c>
      <c r="H241" s="184">
        <f>VLOOKUP($A241,'Institution Evaluation'!$A$56:$K$345,8,0)&amp;""</f>
      </c>
      <c r="I241" s="45">
        <f>VLOOKUP($A241,'Institution Evaluation'!$A$56:$K$345,9,0)&amp;""</f>
      </c>
      <c r="J241" s="185">
        <f>VLOOKUP($A241,'Institution Evaluation'!$A$56:$K$345,10,0)&amp;""</f>
      </c>
      <c r="K241" s="48">
        <f>IF(VLOOKUP($A241,'Institution Evaluation'!$A$56:$K$345,10,0)=TRUE,'Auto Responses'!$J$3,"")</f>
      </c>
    </row>
    <row r="242" spans="1:14" ht="68" x14ac:dyDescent="0.2">
      <c r="A242" s="19" t="s">
        <v>636</v>
      </c>
      <c r="B242" s="18">
        <f>VLOOKUP($A242,Questions!$A$2:$X$333,2,0)</f>
      </c>
      <c r="C242" s="45">
        <f>VLOOKUP($A242,'Institution Evaluation'!$A$56:$K$345,3,0)&amp;""</f>
      </c>
      <c r="D242" s="45">
        <f>VLOOKUP($A242,'Institution Evaluation'!$A$56:$K$345,4,0)&amp;""</f>
      </c>
      <c r="E242" s="323">
        <f>VLOOKUP($A242,'Institution Evaluation'!$A$56:$K$345,5,0)&amp;""</f>
      </c>
      <c r="F242" s="187">
        <f>VLOOKUP($A242,'Institution Evaluation'!$A$56:$K$345,6,0)&amp;""</f>
      </c>
      <c r="G242" s="30">
        <f>VLOOKUP($A242,'Institution Evaluation'!$A$56:$K$345,7,0)&amp;""</f>
      </c>
      <c r="H242" s="184">
        <f>VLOOKUP($A242,'Institution Evaluation'!$A$56:$K$345,8,0)&amp;""</f>
      </c>
      <c r="I242" s="45">
        <f>VLOOKUP($A242,'Institution Evaluation'!$A$56:$K$345,9,0)&amp;""</f>
      </c>
      <c r="J242" s="185">
        <f>VLOOKUP($A242,'Institution Evaluation'!$A$56:$K$345,10,0)&amp;""</f>
      </c>
      <c r="K242" s="48">
        <f>IF(VLOOKUP($A242,'Institution Evaluation'!$A$56:$K$345,10,0)=TRUE,'Auto Responses'!$J$3,"")</f>
      </c>
    </row>
    <row r="243" spans="1:14" ht="68" x14ac:dyDescent="0.2">
      <c r="A243" s="19" t="s">
        <v>638</v>
      </c>
      <c r="B243" s="18">
        <f>VLOOKUP($A243,Questions!$A$2:$X$333,2,0)</f>
      </c>
      <c r="C243" s="45">
        <f>VLOOKUP($A243,'Institution Evaluation'!$A$56:$K$345,3,0)&amp;""</f>
      </c>
      <c r="D243" s="45">
        <f>VLOOKUP($A243,'Institution Evaluation'!$A$56:$K$345,4,0)&amp;""</f>
      </c>
      <c r="E243" s="323">
        <f>VLOOKUP($A243,'Institution Evaluation'!$A$56:$K$345,5,0)&amp;""</f>
      </c>
      <c r="F243" s="187">
        <f>VLOOKUP($A243,'Institution Evaluation'!$A$56:$K$345,6,0)&amp;""</f>
      </c>
      <c r="G243" s="30">
        <f>VLOOKUP($A243,'Institution Evaluation'!$A$56:$K$345,7,0)&amp;""</f>
      </c>
      <c r="H243" s="184">
        <f>VLOOKUP($A243,'Institution Evaluation'!$A$56:$K$345,8,0)&amp;""</f>
      </c>
      <c r="I243" s="45">
        <f>VLOOKUP($A243,'Institution Evaluation'!$A$56:$K$345,9,0)&amp;""</f>
      </c>
      <c r="J243" s="185">
        <f>VLOOKUP($A243,'Institution Evaluation'!$A$56:$K$345,10,0)&amp;""</f>
      </c>
      <c r="K243" s="48">
        <f>IF(VLOOKUP($A243,'Institution Evaluation'!$A$56:$K$345,10,0)=TRUE,'Auto Responses'!$J$3,"")</f>
      </c>
    </row>
    <row r="244" spans="1:14" ht="68" x14ac:dyDescent="0.2">
      <c r="A244" s="19" t="s">
        <v>639</v>
      </c>
      <c r="B244" s="18">
        <f>VLOOKUP($A244,Questions!$A$2:$X$333,2,0)</f>
      </c>
      <c r="C244" s="45">
        <f>VLOOKUP($A244,'Institution Evaluation'!$A$56:$K$345,3,0)&amp;""</f>
      </c>
      <c r="D244" s="45">
        <f>VLOOKUP($A244,'Institution Evaluation'!$A$56:$K$345,4,0)&amp;""</f>
      </c>
      <c r="E244" s="323">
        <f>VLOOKUP($A244,'Institution Evaluation'!$A$56:$K$345,5,0)&amp;""</f>
      </c>
      <c r="F244" s="187">
        <f>VLOOKUP($A244,'Institution Evaluation'!$A$56:$K$345,6,0)&amp;""</f>
      </c>
      <c r="G244" s="30">
        <f>VLOOKUP($A244,'Institution Evaluation'!$A$56:$K$345,7,0)&amp;""</f>
      </c>
      <c r="H244" s="184">
        <f>VLOOKUP($A244,'Institution Evaluation'!$A$56:$K$345,8,0)&amp;""</f>
      </c>
      <c r="I244" s="45">
        <f>VLOOKUP($A244,'Institution Evaluation'!$A$56:$K$345,9,0)&amp;""</f>
      </c>
      <c r="J244" s="185">
        <f>VLOOKUP($A244,'Institution Evaluation'!$A$56:$K$345,10,0)&amp;""</f>
      </c>
      <c r="K244" s="48">
        <f>IF(VLOOKUP($A244,'Institution Evaluation'!$A$56:$K$345,10,0)=TRUE,'Auto Responses'!$J$3,"")</f>
      </c>
    </row>
    <row r="245" spans="1:14" ht="68" x14ac:dyDescent="0.2">
      <c r="A245" s="19" t="s">
        <v>641</v>
      </c>
      <c r="B245" s="18">
        <f>VLOOKUP($A245,Questions!$A$2:$X$333,2,0)</f>
      </c>
      <c r="C245" s="45">
        <f>VLOOKUP($A245,'Institution Evaluation'!$A$56:$K$345,3,0)&amp;""</f>
      </c>
      <c r="D245" s="45">
        <f>VLOOKUP($A245,'Institution Evaluation'!$A$56:$K$345,4,0)&amp;""</f>
      </c>
      <c r="E245" s="323">
        <f>VLOOKUP($A245,'Institution Evaluation'!$A$56:$K$345,5,0)&amp;""</f>
      </c>
      <c r="F245" s="187">
        <f>VLOOKUP($A245,'Institution Evaluation'!$A$56:$K$345,6,0)&amp;""</f>
      </c>
      <c r="G245" s="30">
        <f>VLOOKUP($A245,'Institution Evaluation'!$A$56:$K$345,7,0)&amp;""</f>
      </c>
      <c r="H245" s="184">
        <f>VLOOKUP($A245,'Institution Evaluation'!$A$56:$K$345,8,0)&amp;""</f>
      </c>
      <c r="I245" s="45">
        <f>VLOOKUP($A245,'Institution Evaluation'!$A$56:$K$345,9,0)&amp;""</f>
      </c>
      <c r="J245" s="185">
        <f>VLOOKUP($A245,'Institution Evaluation'!$A$56:$K$345,10,0)&amp;""</f>
      </c>
      <c r="K245" s="48">
        <f>IF(VLOOKUP($A245,'Institution Evaluation'!$A$56:$K$345,10,0)=TRUE,'Auto Responses'!$J$3,"")</f>
      </c>
    </row>
    <row r="246" spans="1:14" ht="68" x14ac:dyDescent="0.2">
      <c r="A246" s="19" t="s">
        <v>643</v>
      </c>
      <c r="B246" s="18">
        <f>VLOOKUP($A246,Questions!$A$2:$X$333,2,0)</f>
      </c>
      <c r="C246" s="45">
        <f>VLOOKUP($A246,'Institution Evaluation'!$A$56:$K$345,3,0)&amp;""</f>
      </c>
      <c r="D246" s="45">
        <f>VLOOKUP($A246,'Institution Evaluation'!$A$56:$K$345,4,0)&amp;""</f>
      </c>
      <c r="E246" s="323">
        <f>VLOOKUP($A246,'Institution Evaluation'!$A$56:$K$345,5,0)&amp;""</f>
      </c>
      <c r="F246" s="187">
        <f>VLOOKUP($A246,'Institution Evaluation'!$A$56:$K$345,6,0)&amp;""</f>
      </c>
      <c r="G246" s="30">
        <f>VLOOKUP($A246,'Institution Evaluation'!$A$56:$K$345,7,0)&amp;""</f>
      </c>
      <c r="H246" s="184">
        <f>VLOOKUP($A246,'Institution Evaluation'!$A$56:$K$345,8,0)&amp;""</f>
      </c>
      <c r="I246" s="45">
        <f>VLOOKUP($A246,'Institution Evaluation'!$A$56:$K$345,9,0)&amp;""</f>
      </c>
      <c r="J246" s="185">
        <f>VLOOKUP($A246,'Institution Evaluation'!$A$56:$K$345,10,0)&amp;""</f>
      </c>
      <c r="K246" s="48">
        <f>IF(VLOOKUP($A246,'Institution Evaluation'!$A$56:$K$345,10,0)=TRUE,'Auto Responses'!$J$3,"")</f>
      </c>
    </row>
    <row r="247" spans="1:14" s="1" customFormat="1" ht="18" x14ac:dyDescent="0.15">
      <c r="A247" s="63">
        <f>VLOOKUP(LEFT($A248,4),'Auto Responses'!$N$4:$O$38,2,0)&amp;""</f>
        <v xml:space="preserve"> Payment Card Industry Data Security Standard (PCI DSS)</v>
      </c>
      <c r="B247" s="22"/>
      <c r="C247" s="31"/>
      <c r="D247" s="31"/>
      <c r="E247" s="324"/>
      <c r="F247" s="131" t="s">
        <v>1030</v>
      </c>
      <c r="G247" s="328" t="s">
        <v>869</v>
      </c>
      <c r="H247" s="328" t="s">
        <v>871</v>
      </c>
      <c r="I247" s="328" t="s">
        <v>19</v>
      </c>
      <c r="J247" s="328" t="s">
        <v>856</v>
      </c>
      <c r="K247" s="31"/>
    </row>
    <row r="248" spans="1:14" ht="119" x14ac:dyDescent="0.2">
      <c r="A248" s="19" t="s">
        <v>644</v>
      </c>
      <c r="B248" s="18">
        <f>VLOOKUP($A248,Questions!$A$2:$X$333,2,0)</f>
      </c>
      <c r="C248" s="45">
        <f>VLOOKUP($A248,'Institution Evaluation'!$A$56:$K$345,3,0)&amp;""</f>
      </c>
      <c r="D248" s="45">
        <f>VLOOKUP($A248,'Institution Evaluation'!$A$56:$K$345,4,0)&amp;""</f>
      </c>
      <c r="E248" s="323">
        <f>VLOOKUP($A248,'Institution Evaluation'!$A$56:$K$345,5,0)&amp;""</f>
      </c>
      <c r="F248" s="187">
        <f>VLOOKUP($A248,'Institution Evaluation'!$A$56:$K$345,6,0)&amp;""</f>
      </c>
      <c r="G248" s="30">
        <f>VLOOKUP($A248,'Institution Evaluation'!$A$56:$K$345,7,0)&amp;""</f>
      </c>
      <c r="H248" s="184">
        <f>VLOOKUP($A248,'Institution Evaluation'!$A$56:$K$345,8,0)&amp;""</f>
      </c>
      <c r="I248" s="45">
        <f>VLOOKUP($A248,'Institution Evaluation'!$A$56:$K$345,9,0)&amp;""</f>
      </c>
      <c r="J248" s="185">
        <f>VLOOKUP($A248,'Institution Evaluation'!$A$56:$K$345,10,0)&amp;""</f>
      </c>
      <c r="K248" s="48">
        <f>IF(VLOOKUP($A248,'Institution Evaluation'!$A$56:$K$345,10,0)=TRUE,'Auto Responses'!$J$3,"")</f>
      </c>
      <c r="N248" s="60"/>
    </row>
    <row r="249" spans="1:14" ht="51" x14ac:dyDescent="0.2">
      <c r="A249" s="19" t="s">
        <v>648</v>
      </c>
      <c r="B249" s="18">
        <f>VLOOKUP($A249,Questions!$A$2:$X$333,2,0)</f>
      </c>
      <c r="C249" s="45">
        <f>VLOOKUP($A249,'Institution Evaluation'!$A$56:$K$345,3,0)&amp;""</f>
      </c>
      <c r="D249" s="45">
        <f>VLOOKUP($A249,'Institution Evaluation'!$A$56:$K$345,4,0)&amp;""</f>
      </c>
      <c r="E249" s="323">
        <f>VLOOKUP($A249,'Institution Evaluation'!$A$56:$K$345,5,0)&amp;""</f>
      </c>
      <c r="F249" s="187">
        <f>VLOOKUP($A249,'Institution Evaluation'!$A$56:$K$345,6,0)&amp;""</f>
      </c>
      <c r="G249" s="30">
        <f>VLOOKUP($A249,'Institution Evaluation'!$A$56:$K$345,7,0)&amp;""</f>
      </c>
      <c r="H249" s="184">
        <f>VLOOKUP($A249,'Institution Evaluation'!$A$56:$K$345,8,0)&amp;""</f>
      </c>
      <c r="I249" s="45">
        <f>VLOOKUP($A249,'Institution Evaluation'!$A$56:$K$345,9,0)&amp;""</f>
      </c>
      <c r="J249" s="185">
        <f>VLOOKUP($A249,'Institution Evaluation'!$A$56:$K$345,10,0)&amp;""</f>
      </c>
      <c r="K249" s="48">
        <f>IF(VLOOKUP($A249,'Institution Evaluation'!$A$56:$K$345,10,0)=TRUE,'Auto Responses'!$J$3,"")</f>
      </c>
    </row>
    <row r="250" spans="1:14" ht="51" x14ac:dyDescent="0.2">
      <c r="A250" s="19" t="s">
        <v>650</v>
      </c>
      <c r="B250" s="18">
        <f>VLOOKUP($A250,Questions!$A$2:$X$333,2,0)</f>
      </c>
      <c r="C250" s="45">
        <f>VLOOKUP($A250,'Institution Evaluation'!$A$56:$K$345,3,0)&amp;""</f>
      </c>
      <c r="D250" s="45">
        <f>VLOOKUP($A250,'Institution Evaluation'!$A$56:$K$345,4,0)&amp;""</f>
      </c>
      <c r="E250" s="323">
        <f>VLOOKUP($A250,'Institution Evaluation'!$A$56:$K$345,5,0)&amp;""</f>
      </c>
      <c r="F250" s="187">
        <f>VLOOKUP($A250,'Institution Evaluation'!$A$56:$K$345,6,0)&amp;""</f>
      </c>
      <c r="G250" s="30">
        <f>VLOOKUP($A250,'Institution Evaluation'!$A$56:$K$345,7,0)&amp;""</f>
      </c>
      <c r="H250" s="184">
        <f>VLOOKUP($A250,'Institution Evaluation'!$A$56:$K$345,8,0)&amp;""</f>
      </c>
      <c r="I250" s="45">
        <f>VLOOKUP($A250,'Institution Evaluation'!$A$56:$K$345,9,0)&amp;""</f>
      </c>
      <c r="J250" s="185">
        <f>VLOOKUP($A250,'Institution Evaluation'!$A$56:$K$345,10,0)&amp;""</f>
      </c>
      <c r="K250" s="48">
        <f>IF(VLOOKUP($A250,'Institution Evaluation'!$A$56:$K$345,10,0)=TRUE,'Auto Responses'!$J$3,"")</f>
      </c>
    </row>
    <row r="251" spans="1:14" ht="85" x14ac:dyDescent="0.2">
      <c r="A251" s="19" t="s">
        <v>651</v>
      </c>
      <c r="B251" s="18">
        <f>VLOOKUP($A251,Questions!$A$2:$X$333,2,0)</f>
      </c>
      <c r="C251" s="45">
        <f>VLOOKUP($A251,'Institution Evaluation'!$A$56:$K$345,3,0)&amp;""</f>
      </c>
      <c r="D251" s="45">
        <f>VLOOKUP($A251,'Institution Evaluation'!$A$56:$K$345,4,0)&amp;""</f>
      </c>
      <c r="E251" s="323">
        <f>VLOOKUP($A251,'Institution Evaluation'!$A$56:$K$345,5,0)&amp;""</f>
      </c>
      <c r="F251" s="187">
        <f>VLOOKUP($A251,'Institution Evaluation'!$A$56:$K$345,6,0)&amp;""</f>
      </c>
      <c r="G251" s="30">
        <f>VLOOKUP($A251,'Institution Evaluation'!$A$56:$K$345,7,0)&amp;""</f>
      </c>
      <c r="H251" s="184">
        <f>VLOOKUP($A251,'Institution Evaluation'!$A$56:$K$345,8,0)&amp;""</f>
      </c>
      <c r="I251" s="45">
        <f>VLOOKUP($A251,'Institution Evaluation'!$A$56:$K$345,9,0)&amp;""</f>
      </c>
      <c r="J251" s="185">
        <f>VLOOKUP($A251,'Institution Evaluation'!$A$56:$K$345,10,0)&amp;""</f>
      </c>
      <c r="K251" s="48">
        <f>IF(VLOOKUP($A251,'Institution Evaluation'!$A$56:$K$345,10,0)=TRUE,'Auto Responses'!$J$3,"")</f>
      </c>
    </row>
    <row r="252" spans="1:14" ht="102" x14ac:dyDescent="0.2">
      <c r="A252" s="19" t="s">
        <v>653</v>
      </c>
      <c r="B252" s="18">
        <f>VLOOKUP($A252,Questions!$A$2:$X$333,2,0)</f>
      </c>
      <c r="C252" s="45">
        <f>VLOOKUP($A252,'Institution Evaluation'!$A$56:$K$345,3,0)&amp;""</f>
      </c>
      <c r="D252" s="45">
        <f>VLOOKUP($A252,'Institution Evaluation'!$A$56:$K$345,4,0)&amp;""</f>
      </c>
      <c r="E252" s="323">
        <f>VLOOKUP($A252,'Institution Evaluation'!$A$56:$K$345,5,0)&amp;""</f>
      </c>
      <c r="F252" s="187">
        <f>VLOOKUP($A252,'Institution Evaluation'!$A$56:$K$345,6,0)&amp;""</f>
      </c>
      <c r="G252" s="30">
        <f>VLOOKUP($A252,'Institution Evaluation'!$A$56:$K$345,7,0)&amp;""</f>
      </c>
      <c r="H252" s="184">
        <f>VLOOKUP($A252,'Institution Evaluation'!$A$56:$K$345,8,0)&amp;""</f>
      </c>
      <c r="I252" s="45">
        <f>VLOOKUP($A252,'Institution Evaluation'!$A$56:$K$345,9,0)&amp;""</f>
      </c>
      <c r="J252" s="185">
        <f>VLOOKUP($A252,'Institution Evaluation'!$A$56:$K$345,10,0)&amp;""</f>
      </c>
      <c r="K252" s="48">
        <f>IF(VLOOKUP($A252,'Institution Evaluation'!$A$56:$K$345,10,0)=TRUE,'Auto Responses'!$J$3,"")</f>
      </c>
    </row>
    <row r="253" spans="1:14" ht="51" x14ac:dyDescent="0.2">
      <c r="A253" s="19" t="s">
        <v>654</v>
      </c>
      <c r="B253" s="18">
        <f>VLOOKUP($A253,Questions!$A$2:$X$333,2,0)</f>
      </c>
      <c r="C253" s="45">
        <f>VLOOKUP($A253,'Institution Evaluation'!$A$56:$K$345,3,0)&amp;""</f>
      </c>
      <c r="D253" s="45">
        <f>VLOOKUP($A253,'Institution Evaluation'!$A$56:$K$345,4,0)&amp;""</f>
      </c>
      <c r="E253" s="323">
        <f>VLOOKUP($A253,'Institution Evaluation'!$A$56:$K$345,5,0)&amp;""</f>
      </c>
      <c r="F253" s="187">
        <f>VLOOKUP($A253,'Institution Evaluation'!$A$56:$K$345,6,0)&amp;""</f>
      </c>
      <c r="G253" s="30">
        <f>VLOOKUP($A253,'Institution Evaluation'!$A$56:$K$345,7,0)&amp;""</f>
      </c>
      <c r="H253" s="184">
        <f>VLOOKUP($A253,'Institution Evaluation'!$A$56:$K$345,8,0)&amp;""</f>
      </c>
      <c r="I253" s="45">
        <f>VLOOKUP($A253,'Institution Evaluation'!$A$56:$K$345,9,0)&amp;""</f>
      </c>
      <c r="J253" s="185">
        <f>VLOOKUP($A253,'Institution Evaluation'!$A$56:$K$345,10,0)&amp;""</f>
      </c>
      <c r="K253" s="48">
        <f>IF(VLOOKUP($A253,'Institution Evaluation'!$A$56:$K$345,10,0)=TRUE,'Auto Responses'!$J$3,"")</f>
      </c>
    </row>
    <row r="254" spans="1:14" ht="51" x14ac:dyDescent="0.2">
      <c r="A254" s="19" t="s">
        <v>656</v>
      </c>
      <c r="B254" s="18">
        <f>VLOOKUP($A254,Questions!$A$2:$X$333,2,0)</f>
      </c>
      <c r="C254" s="45">
        <f>VLOOKUP($A254,'Institution Evaluation'!$A$56:$K$345,3,0)&amp;""</f>
      </c>
      <c r="D254" s="45">
        <f>VLOOKUP($A254,'Institution Evaluation'!$A$56:$K$345,4,0)&amp;""</f>
      </c>
      <c r="E254" s="323">
        <f>VLOOKUP($A254,'Institution Evaluation'!$A$56:$K$345,5,0)&amp;""</f>
      </c>
      <c r="F254" s="187">
        <f>VLOOKUP($A254,'Institution Evaluation'!$A$56:$K$345,6,0)&amp;""</f>
      </c>
      <c r="G254" s="30">
        <f>VLOOKUP($A254,'Institution Evaluation'!$A$56:$K$345,7,0)&amp;""</f>
      </c>
      <c r="H254" s="184">
        <f>VLOOKUP($A254,'Institution Evaluation'!$A$56:$K$345,8,0)&amp;""</f>
      </c>
      <c r="I254" s="45">
        <f>VLOOKUP($A254,'Institution Evaluation'!$A$56:$K$345,9,0)&amp;""</f>
      </c>
      <c r="J254" s="185">
        <f>VLOOKUP($A254,'Institution Evaluation'!$A$56:$K$345,10,0)&amp;""</f>
      </c>
      <c r="K254" s="48">
        <f>IF(VLOOKUP($A254,'Institution Evaluation'!$A$56:$K$345,10,0)=TRUE,'Auto Responses'!$J$3,"")</f>
      </c>
    </row>
    <row r="255" spans="1:14" ht="51" x14ac:dyDescent="0.2">
      <c r="A255" s="19" t="s">
        <v>658</v>
      </c>
      <c r="B255" s="18">
        <f>VLOOKUP($A255,Questions!$A$2:$X$333,2,0)</f>
      </c>
      <c r="C255" s="45">
        <f>VLOOKUP($A255,'Institution Evaluation'!$A$56:$K$345,3,0)&amp;""</f>
      </c>
      <c r="D255" s="45">
        <f>VLOOKUP($A255,'Institution Evaluation'!$A$56:$K$345,4,0)&amp;""</f>
      </c>
      <c r="E255" s="323">
        <f>VLOOKUP($A255,'Institution Evaluation'!$A$56:$K$345,5,0)&amp;""</f>
      </c>
      <c r="F255" s="187">
        <f>VLOOKUP($A255,'Institution Evaluation'!$A$56:$K$345,6,0)&amp;""</f>
      </c>
      <c r="G255" s="30">
        <f>VLOOKUP($A255,'Institution Evaluation'!$A$56:$K$345,7,0)&amp;""</f>
      </c>
      <c r="H255" s="184">
        <f>VLOOKUP($A255,'Institution Evaluation'!$A$56:$K$345,8,0)&amp;""</f>
      </c>
      <c r="I255" s="45">
        <f>VLOOKUP($A255,'Institution Evaluation'!$A$56:$K$345,9,0)&amp;""</f>
      </c>
      <c r="J255" s="185">
        <f>VLOOKUP($A255,'Institution Evaluation'!$A$56:$K$345,10,0)&amp;""</f>
      </c>
      <c r="K255" s="48">
        <f>IF(VLOOKUP($A255,'Institution Evaluation'!$A$56:$K$345,10,0)=TRUE,'Auto Responses'!$J$3,"")</f>
      </c>
    </row>
    <row r="256" spans="1:14" ht="238" x14ac:dyDescent="0.2">
      <c r="A256" s="19" t="s">
        <v>660</v>
      </c>
      <c r="B256" s="18">
        <f>VLOOKUP($A256,Questions!$A$2:$X$333,2,0)</f>
      </c>
      <c r="C256" s="45">
        <f>VLOOKUP($A256,'Institution Evaluation'!$A$56:$K$345,3,0)&amp;""</f>
      </c>
      <c r="D256" s="45">
        <f>VLOOKUP($A256,'Institution Evaluation'!$A$56:$K$345,4,0)&amp;""</f>
      </c>
      <c r="E256" s="323">
        <f>VLOOKUP($A256,'Institution Evaluation'!$A$56:$K$345,5,0)&amp;""</f>
      </c>
      <c r="F256" s="187">
        <f>VLOOKUP($A256,'Institution Evaluation'!$A$56:$K$345,6,0)&amp;""</f>
      </c>
      <c r="G256" s="30">
        <f>VLOOKUP($A256,'Institution Evaluation'!$A$56:$K$345,7,0)&amp;""</f>
      </c>
      <c r="H256" s="184">
        <f>VLOOKUP($A256,'Institution Evaluation'!$A$56:$K$345,8,0)&amp;""</f>
      </c>
      <c r="I256" s="45">
        <f>VLOOKUP($A256,'Institution Evaluation'!$A$56:$K$345,9,0)&amp;""</f>
      </c>
      <c r="J256" s="185">
        <f>VLOOKUP($A256,'Institution Evaluation'!$A$56:$K$345,10,0)&amp;""</f>
      </c>
      <c r="K256" s="48">
        <f>IF(VLOOKUP($A256,'Institution Evaluation'!$A$56:$K$345,10,0)=TRUE,'Auto Responses'!$J$3,"")</f>
      </c>
    </row>
    <row r="257" spans="1:13" ht="51" x14ac:dyDescent="0.2">
      <c r="A257" s="19" t="s">
        <v>661</v>
      </c>
      <c r="B257" s="18">
        <f>VLOOKUP($A257,Questions!$A$2:$X$333,2,0)</f>
      </c>
      <c r="C257" s="45">
        <f>VLOOKUP($A257,'Institution Evaluation'!$A$56:$K$345,3,0)&amp;""</f>
      </c>
      <c r="D257" s="45">
        <f>VLOOKUP($A257,'Institution Evaluation'!$A$56:$K$345,4,0)&amp;""</f>
      </c>
      <c r="E257" s="323">
        <f>VLOOKUP($A257,'Institution Evaluation'!$A$56:$K$345,5,0)&amp;""</f>
      </c>
      <c r="F257" s="187">
        <f>VLOOKUP($A257,'Institution Evaluation'!$A$56:$K$345,6,0)&amp;""</f>
      </c>
      <c r="G257" s="30">
        <f>VLOOKUP($A257,'Institution Evaluation'!$A$56:$K$345,7,0)&amp;""</f>
      </c>
      <c r="H257" s="184">
        <f>VLOOKUP($A257,'Institution Evaluation'!$A$56:$K$345,8,0)&amp;""</f>
      </c>
      <c r="I257" s="45">
        <f>VLOOKUP($A257,'Institution Evaluation'!$A$56:$K$345,9,0)&amp;""</f>
      </c>
      <c r="J257" s="185">
        <f>VLOOKUP($A257,'Institution Evaluation'!$A$56:$K$345,10,0)&amp;""</f>
      </c>
      <c r="K257" s="48">
        <f>IF(VLOOKUP($A257,'Institution Evaluation'!$A$56:$K$345,10,0)=TRUE,'Auto Responses'!$J$3,"")</f>
      </c>
    </row>
    <row r="258" spans="1:13" ht="68" x14ac:dyDescent="0.2">
      <c r="A258" s="19" t="s">
        <v>662</v>
      </c>
      <c r="B258" s="18">
        <f>VLOOKUP($A258,Questions!$A$2:$X$333,2,0)</f>
      </c>
      <c r="C258" s="45">
        <f>VLOOKUP($A258,'Institution Evaluation'!$A$56:$K$345,3,0)&amp;""</f>
      </c>
      <c r="D258" s="45">
        <f>VLOOKUP($A258,'Institution Evaluation'!$A$56:$K$345,4,0)&amp;""</f>
      </c>
      <c r="E258" s="323">
        <f>VLOOKUP($A258,'Institution Evaluation'!$A$56:$K$345,5,0)&amp;""</f>
      </c>
      <c r="F258" s="187">
        <f>VLOOKUP($A258,'Institution Evaluation'!$A$56:$K$345,6,0)&amp;""</f>
      </c>
      <c r="G258" s="30">
        <f>VLOOKUP($A258,'Institution Evaluation'!$A$56:$K$345,7,0)&amp;""</f>
      </c>
      <c r="H258" s="184">
        <f>VLOOKUP($A258,'Institution Evaluation'!$A$56:$K$345,8,0)&amp;""</f>
      </c>
      <c r="I258" s="45">
        <f>VLOOKUP($A258,'Institution Evaluation'!$A$56:$K$345,9,0)&amp;""</f>
      </c>
      <c r="J258" s="185">
        <f>VLOOKUP($A258,'Institution Evaluation'!$A$56:$K$345,10,0)&amp;""</f>
      </c>
      <c r="K258" s="48">
        <f>IF(VLOOKUP($A258,'Institution Evaluation'!$A$56:$K$345,10,0)=TRUE,'Auto Responses'!$J$3,"")</f>
      </c>
    </row>
    <row r="259" spans="1:13" ht="85" x14ac:dyDescent="0.15">
      <c r="A259" s="19" t="s">
        <v>663</v>
      </c>
      <c r="B259" s="18">
        <f>VLOOKUP($A259,Questions!$A$2:$X$333,2,0)</f>
      </c>
      <c r="C259" s="45">
        <f>VLOOKUP($A259,'Institution Evaluation'!$A$56:$K$345,3,0)&amp;""</f>
      </c>
      <c r="D259" s="45">
        <f>VLOOKUP($A259,'Institution Evaluation'!$A$56:$K$345,4,0)&amp;""</f>
      </c>
      <c r="E259" s="323">
        <f>VLOOKUP($A259,'Institution Evaluation'!$A$56:$K$345,5,0)&amp;""</f>
      </c>
      <c r="F259" s="187">
        <f>VLOOKUP($A259,'Institution Evaluation'!$A$56:$K$345,6,0)&amp;""</f>
      </c>
      <c r="G259" s="30">
        <f>VLOOKUP($A259,'Institution Evaluation'!$A$56:$K$345,7,0)&amp;""</f>
      </c>
      <c r="H259" s="184">
        <f>VLOOKUP($A259,'Institution Evaluation'!$A$56:$K$345,8,0)&amp;""</f>
      </c>
      <c r="I259" s="45">
        <f>VLOOKUP($A259,'Institution Evaluation'!$A$56:$K$345,9,0)&amp;""</f>
      </c>
      <c r="J259" s="185">
        <f>VLOOKUP($A259,'Institution Evaluation'!$A$56:$K$345,10,0)&amp;""</f>
      </c>
      <c r="K259" s="48">
        <f>IF(VLOOKUP($A259,'Institution Evaluation'!$A$56:$K$345,10,0)=TRUE,'Auto Responses'!$J$3,"")</f>
      </c>
      <c r="M259" s="235" t="s">
        <v>1448</v>
      </c>
    </row>
    <row r="260" spans="1:13" ht="47.25" customHeight="1" x14ac:dyDescent="0.2">
      <c r="A260" s="262" t="s">
        <v>1505</v>
      </c>
    </row>
    <row r="261" spans="1:13" ht="34.5" hidden="1" customHeight="1" x14ac:dyDescent="0.2"/>
    <row r="262" spans="1:13" ht="34.5" hidden="1" customHeight="1" x14ac:dyDescent="0.2"/>
    <row r="263" spans="1:13" ht="34.5" hidden="1" customHeight="1" x14ac:dyDescent="0.2"/>
    <row r="264" spans="1:13" ht="34.5" hidden="1" customHeight="1" x14ac:dyDescent="0.2"/>
    <row r="265" spans="1:13" ht="34.5" hidden="1" customHeight="1" x14ac:dyDescent="0.2"/>
  </sheetData>
  <mergeCells count="1">
    <mergeCell ref="A19:C19"/>
  </mergeCells>
  <phoneticPr fontId="31"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 'Privacy Analyst Evaluation'!A46" display="Jump to the General Privacy section"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For full instructions, visit the HECVAT website." xr:uid="{F4B2EBCC-D744-4488-8E73-490FA2185475}"/>
    <hyperlink ref="G22:G30" location="'Privacy Analyst Evaluation'!A47" display="'Privacy Analyst Evaluation'!A47" xr:uid="{1251A0D8-0A08-4A63-B905-D6DAFC387987}"/>
    <hyperlink ref="G22" location=" 'Privacy Analyst Evaluation'!A52" display="Jump to the Privacy-Specific Company Details section" xr:uid="{D8EDB80E-DE58-4319-9F88-4C9311A3E693}"/>
    <hyperlink ref="G23" location=" 'Privacy Analyst Evaluation'!A57" display="Jump to the Privacy-Specific Documentation section" xr:uid="{15E8AF0F-BF72-4F07-B6D0-45B48123DCA6}"/>
    <hyperlink ref="G24" location=" 'Privacy Analyst Evaluation'!A61" display="Jump to the Privacy of Third Parties section" xr:uid="{5ECA5F9B-C8CB-40A7-8529-922B01D10F36}"/>
    <hyperlink ref="G25" location=" 'Privacy Analyst Evaluation'!A64" display="Jump to the Privacy Change Management section" xr:uid="{1629C3F0-00D5-4468-995C-279428B7CE45}"/>
    <hyperlink ref="G26" location=" 'Privacy Analyst Evaluation'!A67" display="Jump to the Privacy of Sensitive Data section" xr:uid="{6584AD61-926D-4B4E-B452-54D664BD8D27}"/>
    <hyperlink ref="G27" location=" 'Privacy Analyst Evaluation'!A76" display="Jump to the Privacy Policies and Procedures section" xr:uid="{85922664-00D0-423D-B404-50DF16571F26}"/>
    <hyperlink ref="G28" location=" 'Privacy Analyst Evaluation'!A90" display="Jump to the International Privacy section" xr:uid="{EDBF7F39-EB51-44E9-A39A-201C8008E782}"/>
    <hyperlink ref="G29" location="'Privacy Analyst Evaluation'!A96" display="'Privacy Analyst Evaluation'!A96" xr:uid="{3D8D4D96-E456-466E-8F7D-94199F48A916}"/>
    <hyperlink ref="G30" location="'Privacy Analyst Evaluation'!A112" display="'Privacy Analyst Evaluation'!A112" xr:uid="{3D4911A8-8577-446A-95A0-AD9636A8FCAC}"/>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 zoomScale="80" zoomScaleNormal="80" workbookViewId="0">
      <selection activeCell="A2" sqref="A2"/>
    </sheetView>
  </sheetViews>
  <sheetFormatPr baseColWidth="10" defaultColWidth="0" defaultRowHeight="16" zeroHeight="1" x14ac:dyDescent="0.15"/>
  <cols>
    <col min="1" max="1" width="11.125" style="55" customWidth="1"/>
    <col min="2" max="2" width="57.75" style="52" customWidth="1"/>
    <col min="3" max="3" width="71.125" style="53" customWidth="1"/>
    <col min="4" max="4" width="80.25" style="54" customWidth="1"/>
    <col min="5" max="5" width="6.625" style="55" customWidth="1"/>
    <col min="6" max="6" width="0" style="55" hidden="1" customWidth="1"/>
    <col min="7" max="16384" width="6.625" style="55" hidden="1"/>
  </cols>
  <sheetData>
    <row r="1" spans="1:5" ht="187" hidden="1" x14ac:dyDescent="0.15">
      <c r="A1" s="55" t="s">
        <v>1452</v>
      </c>
    </row>
    <row r="2" spans="1:5" ht="25" x14ac:dyDescent="0.2">
      <c r="A2" s="180" t="s">
        <v>942</v>
      </c>
      <c r="B2" s="180"/>
      <c r="C2" s="180"/>
      <c r="D2" s="263" t="s">
        <v>1505</v>
      </c>
    </row>
    <row r="3" spans="1:5" ht="18" x14ac:dyDescent="0.2">
      <c r="A3" s="363" t="s">
        <v>1910</v>
      </c>
      <c r="B3" s="65"/>
      <c r="C3" s="65"/>
      <c r="D3" s="264"/>
    </row>
    <row r="4" spans="1:5" ht="18" x14ac:dyDescent="0.2">
      <c r="A4" s="364" t="s">
        <v>1507</v>
      </c>
      <c r="B4" s="65"/>
      <c r="C4" s="65"/>
      <c r="D4" s="264"/>
    </row>
    <row r="5" spans="1:5" s="234" customFormat="1" ht="18" x14ac:dyDescent="0.2">
      <c r="A5" s="233" t="s">
        <v>1445</v>
      </c>
      <c r="B5" s="65"/>
      <c r="C5" s="65"/>
      <c r="D5" s="264"/>
    </row>
    <row r="6" spans="1:5" s="234" customFormat="1" ht="18" x14ac:dyDescent="0.2">
      <c r="A6" s="233" t="s">
        <v>1446</v>
      </c>
      <c r="B6" s="65"/>
      <c r="C6" s="65"/>
      <c r="D6" s="265"/>
    </row>
    <row r="7" spans="1:5" ht="19" x14ac:dyDescent="0.2">
      <c r="A7" s="232" t="str">
        <f>VLOOKUP(LEFT($A8,4),'Auto Responses'!$N$4:$O$38,2,0)&amp;""</f>
        <v xml:space="preserve"> General Information</v>
      </c>
      <c r="B7" s="63"/>
      <c r="C7" s="56" t="str">
        <f>Questions!$S$2</f>
      </c>
      <c r="D7" s="56">
        <f>Questions!$T$2</f>
      </c>
    </row>
    <row r="8" spans="1:5" x14ac:dyDescent="0.2">
      <c r="A8" s="57" t="s">
        <v>21</v>
      </c>
      <c r="B8" s="57">
        <f>VLOOKUP($A8,Questions!$A$3:$X$333,2,0)&amp;""</f>
      </c>
      <c r="C8" s="57">
        <f>VLOOKUP($A8,Questions!$A$3:$X$333,19,0)&amp;""</f>
      </c>
      <c r="D8" s="57">
        <f>VLOOKUP($A8,Questions!$A$3:$X$333,20,0)&amp;""</f>
      </c>
    </row>
    <row r="9" spans="1:5" x14ac:dyDescent="0.2">
      <c r="A9" s="57" t="s">
        <v>24</v>
      </c>
      <c r="B9" s="57">
        <f>VLOOKUP($A9,Questions!$A$3:$X$333,2,0)&amp;""</f>
      </c>
      <c r="C9" s="57">
        <f>VLOOKUP($A9,Questions!$A$3:$X$333,19,0)&amp;""</f>
      </c>
      <c r="D9" s="57">
        <f>VLOOKUP($A9,Questions!$A$3:$X$333,20,0)&amp;""</f>
      </c>
    </row>
    <row r="10" spans="1:5" x14ac:dyDescent="0.2">
      <c r="A10" s="57" t="s">
        <v>25</v>
      </c>
      <c r="B10" s="57">
        <f>VLOOKUP($A10,Questions!$A$3:$X$333,2,0)&amp;""</f>
      </c>
      <c r="C10" s="57">
        <f>VLOOKUP($A10,Questions!$A$3:$X$333,19,0)&amp;""</f>
      </c>
      <c r="D10" s="57">
        <f>VLOOKUP($A10,Questions!$A$3:$X$333,20,0)&amp;""</f>
      </c>
    </row>
    <row r="11" spans="1:5" x14ac:dyDescent="0.2">
      <c r="A11" s="57" t="s">
        <v>26</v>
      </c>
      <c r="B11" s="57">
        <f>VLOOKUP($A11,Questions!$A$3:$X$333,2,0)&amp;""</f>
      </c>
      <c r="C11" s="57">
        <f>VLOOKUP($A11,Questions!$A$3:$X$333,19,0)&amp;""</f>
      </c>
      <c r="D11" s="57">
        <f>VLOOKUP($A11,Questions!$A$3:$X$333,20,0)&amp;""</f>
      </c>
    </row>
    <row r="12" spans="1:5" x14ac:dyDescent="0.2">
      <c r="A12" s="57" t="s">
        <v>27</v>
      </c>
      <c r="B12" s="57">
        <f>VLOOKUP($A12,Questions!$A$3:$X$333,2,0)&amp;""</f>
      </c>
      <c r="C12" s="57">
        <f>VLOOKUP($A12,Questions!$A$3:$X$333,19,0)&amp;""</f>
      </c>
      <c r="D12" s="57">
        <f>VLOOKUP($A12,Questions!$A$3:$X$333,20,0)&amp;""</f>
      </c>
    </row>
    <row r="13" spans="1:5" x14ac:dyDescent="0.2">
      <c r="A13" s="57" t="s">
        <v>28</v>
      </c>
      <c r="B13" s="57">
        <f>VLOOKUP($A13,Questions!$A$3:$X$333,2,0)&amp;""</f>
      </c>
      <c r="C13" s="57">
        <f>VLOOKUP($A13,Questions!$A$3:$X$333,19,0)&amp;""</f>
      </c>
      <c r="D13" s="57">
        <f>VLOOKUP($A13,Questions!$A$3:$X$333,20,0)&amp;""</f>
      </c>
    </row>
    <row r="14" spans="1:5" x14ac:dyDescent="0.2">
      <c r="A14" s="57" t="s">
        <v>29</v>
      </c>
      <c r="B14" s="57">
        <f>VLOOKUP($A14,Questions!$A$3:$X$333,2,0)&amp;""</f>
      </c>
      <c r="C14" s="57">
        <f>VLOOKUP($A14,Questions!$A$3:$X$333,19,0)&amp;""</f>
      </c>
      <c r="D14" s="57">
        <f>VLOOKUP($A14,Questions!$A$3:$X$333,20,0)&amp;""</f>
      </c>
    </row>
    <row r="15" spans="1:5" x14ac:dyDescent="0.2">
      <c r="A15" s="57" t="s">
        <v>30</v>
      </c>
      <c r="B15" s="57">
        <f>VLOOKUP($A15,Questions!$A$3:$X$333,2,0)&amp;""</f>
      </c>
      <c r="C15" s="57">
        <f>VLOOKUP($A15,Questions!$A$3:$X$333,19,0)&amp;""</f>
      </c>
      <c r="D15" s="57">
        <f>VLOOKUP($A15,Questions!$A$3:$X$333,20,0)&amp;""</f>
      </c>
    </row>
    <row r="16" spans="1:5" x14ac:dyDescent="0.15">
      <c r="A16" s="57" t="s">
        <v>32</v>
      </c>
      <c r="B16" s="57">
        <f>VLOOKUP($A16,Questions!$A$3:$X$333,2,0)&amp;""</f>
      </c>
      <c r="C16" s="57">
        <f>VLOOKUP($A16,Questions!$A$3:$X$333,19,0)&amp;""</f>
      </c>
      <c r="D16" s="57">
        <f>VLOOKUP($A16,Questions!$A$3:$X$333,20,0)&amp;""</f>
      </c>
      <c r="E16" s="238" t="s">
        <v>1453</v>
      </c>
    </row>
    <row r="17" spans="1:5" ht="19" x14ac:dyDescent="0.2">
      <c r="A17" s="63">
        <f>VLOOKUP(LEFT($A18,4),'Auto Responses'!$N$4:$O$38,2,0)&amp;""</f>
        <v xml:space="preserve"> Company Information</v>
      </c>
      <c r="B17" s="63"/>
      <c r="C17" s="56" t="str">
        <f>Questions!$S$2</f>
      </c>
      <c r="D17" s="56">
        <f>Questions!$T$2</f>
      </c>
    </row>
    <row r="18" spans="1:5" ht="75" x14ac:dyDescent="0.2">
      <c r="A18" s="57" t="s">
        <v>35</v>
      </c>
      <c r="B18" s="57">
        <f>VLOOKUP($A18,Questions!$A$3:$X$333,2,0)&amp;""</f>
      </c>
      <c r="C18" s="57">
        <f>VLOOKUP($A18,Questions!$A$3:$X$333,19,0)&amp;""</f>
      </c>
      <c r="D18" s="57">
        <f>VLOOKUP($A18,Questions!$A$3:$X$333,20,0)&amp;""</f>
      </c>
    </row>
    <row r="19" spans="1:5" ht="43.5" customHeight="1" x14ac:dyDescent="0.2">
      <c r="A19" s="57" t="s">
        <v>42</v>
      </c>
      <c r="B19" s="57">
        <f>VLOOKUP($A19,Questions!$A$3:$X$333,2,0)&amp;""</f>
      </c>
      <c r="C19" s="57">
        <f>VLOOKUP($A19,Questions!$A$3:$X$333,19,0)&amp;""</f>
      </c>
      <c r="D19" s="57">
        <f>VLOOKUP($A19,Questions!$A$3:$X$333,20,0)&amp;""</f>
      </c>
    </row>
    <row r="20" spans="1:5" ht="67.5" customHeight="1" x14ac:dyDescent="0.2">
      <c r="A20" s="57" t="s">
        <v>44</v>
      </c>
      <c r="B20" s="57">
        <f>VLOOKUP($A20,Questions!$A$3:$X$333,2,0)&amp;""</f>
      </c>
      <c r="C20" s="57">
        <f>VLOOKUP($A20,Questions!$A$3:$X$333,19,0)&amp;""</f>
      </c>
      <c r="D20" s="57">
        <f>VLOOKUP($A20,Questions!$A$3:$X$333,20,0)&amp;""</f>
      </c>
    </row>
    <row r="21" spans="1:5" ht="67.5" customHeight="1" x14ac:dyDescent="0.2">
      <c r="A21" s="57" t="s">
        <v>45</v>
      </c>
      <c r="B21" s="57">
        <f>VLOOKUP($A21,Questions!$A$3:$X$333,2,0)&amp;""</f>
      </c>
      <c r="C21" s="57">
        <f>VLOOKUP($A21,Questions!$A$3:$X$333,19,0)&amp;""</f>
      </c>
      <c r="D21" s="57">
        <f>VLOOKUP($A21,Questions!$A$3:$X$333,20,0)&amp;""</f>
      </c>
    </row>
    <row r="22" spans="1:5" ht="64.5" customHeight="1" x14ac:dyDescent="0.15">
      <c r="A22" s="57" t="s">
        <v>47</v>
      </c>
      <c r="B22" s="57">
        <f>VLOOKUP($A22,Questions!$A$3:$X$333,2,0)&amp;""</f>
      </c>
      <c r="C22" s="57">
        <f>VLOOKUP($A22,Questions!$A$3:$X$333,19,0)&amp;""</f>
      </c>
      <c r="D22" s="57">
        <f>VLOOKUP($A22,Questions!$A$3:$X$333,20,0)&amp;""</f>
      </c>
      <c r="E22" s="238" t="s">
        <v>1453</v>
      </c>
    </row>
    <row r="23" spans="1:5" ht="19" x14ac:dyDescent="0.2">
      <c r="A23" s="63">
        <f>VLOOKUP(LEFT($A24,4),'Auto Responses'!$N$4:$O$38,2,0)&amp;""</f>
        <v xml:space="preserve"> Required Questions</v>
      </c>
      <c r="B23" s="63"/>
      <c r="C23" s="56" t="str">
        <f>Questions!$S$2</f>
      </c>
      <c r="D23" s="56">
        <f>Questions!$T$2</f>
      </c>
    </row>
    <row r="24" spans="1:5" s="295" customFormat="1" ht="18" x14ac:dyDescent="0.2">
      <c r="A24" s="296" t="s">
        <v>1513</v>
      </c>
      <c r="B24" s="293"/>
      <c r="C24" s="294"/>
      <c r="D24" s="294"/>
    </row>
    <row r="25" spans="1:5" ht="36.75" customHeight="1" x14ac:dyDescent="0.2">
      <c r="A25" s="57" t="s">
        <v>48</v>
      </c>
      <c r="B25" s="57">
        <f>VLOOKUP($A25,Questions!$A$3:$X$333,2,0)&amp;""</f>
      </c>
      <c r="C25" s="57" t="s">
        <v>1480</v>
      </c>
      <c r="D25" s="57">
        <f>VLOOKUP($A25,Questions!$A$3:$X$333,19,0)&amp;""</f>
      </c>
    </row>
    <row r="26" spans="1:5" ht="38.25" customHeight="1" x14ac:dyDescent="0.2">
      <c r="A26" s="57" t="s">
        <v>51</v>
      </c>
      <c r="B26" s="57">
        <f>VLOOKUP($A26,Questions!$A$3:$X$333,2,0)&amp;""</f>
      </c>
      <c r="C26" s="57" t="s">
        <v>1481</v>
      </c>
      <c r="D26" s="57">
        <f>VLOOKUP($A26,Questions!$A$3:$X$333,19,0)&amp;""</f>
      </c>
    </row>
    <row r="27" spans="1:5" x14ac:dyDescent="0.2">
      <c r="A27" s="57" t="s">
        <v>54</v>
      </c>
      <c r="B27" s="57">
        <f>VLOOKUP($A27,Questions!$A$3:$X$333,2,0)&amp;""</f>
      </c>
      <c r="C27" s="57" t="s">
        <v>1482</v>
      </c>
      <c r="D27" s="57">
        <f>VLOOKUP($A27,Questions!$A$3:$X$333,19,0)&amp;""</f>
      </c>
    </row>
    <row r="28" spans="1:5" ht="30" x14ac:dyDescent="0.2">
      <c r="A28" s="57" t="s">
        <v>58</v>
      </c>
      <c r="B28" s="57">
        <f>VLOOKUP($A28,Questions!$A$3:$X$333,2,0)&amp;""</f>
      </c>
      <c r="C28" s="57" t="s">
        <v>1483</v>
      </c>
      <c r="D28" s="57">
        <f>VLOOKUP($A28,Questions!$A$3:$X$333,19,0)&amp;""</f>
      </c>
    </row>
    <row r="29" spans="1:5" ht="30" x14ac:dyDescent="0.2">
      <c r="A29" s="57" t="s">
        <v>61</v>
      </c>
      <c r="B29" s="57">
        <f>VLOOKUP($A29,Questions!$A$3:$X$333,2,0)&amp;""</f>
      </c>
      <c r="C29" s="57" t="s">
        <v>1484</v>
      </c>
      <c r="D29" s="57">
        <f>VLOOKUP($A29,Questions!$A$3:$X$333,19,0)&amp;""</f>
      </c>
    </row>
    <row r="30" spans="1:5" ht="33.75" customHeight="1" x14ac:dyDescent="0.2">
      <c r="A30" s="57" t="s">
        <v>64</v>
      </c>
      <c r="B30" s="57">
        <f>VLOOKUP($A30,Questions!$A$3:$X$333,2,0)&amp;""</f>
      </c>
      <c r="C30" s="57" t="s">
        <v>1485</v>
      </c>
      <c r="D30" s="57">
        <f>VLOOKUP($A30,Questions!$A$3:$X$333,19,0)&amp;""</f>
      </c>
    </row>
    <row r="31" spans="1:5" ht="66.75" customHeight="1" x14ac:dyDescent="0.15">
      <c r="A31" s="57" t="s">
        <v>67</v>
      </c>
      <c r="B31" s="57">
        <f>VLOOKUP($A31,Questions!$A$3:$X$333,2,0)&amp;""</f>
      </c>
      <c r="C31" s="57" t="s">
        <v>1486</v>
      </c>
      <c r="D31" s="57">
        <f>VLOOKUP($A31,Questions!$A$3:$X$333,19,0)&amp;""</f>
      </c>
      <c r="E31" s="238" t="s">
        <v>1453</v>
      </c>
    </row>
    <row r="32" spans="1:5" ht="19" x14ac:dyDescent="0.2">
      <c r="A32" s="63">
        <f>VLOOKUP(LEFT($A33,4),'Auto Responses'!$N$4:$O$38,2,0)&amp;""</f>
        <v xml:space="preserve"> Documentation</v>
      </c>
      <c r="B32" s="63"/>
      <c r="C32" s="56" t="str">
        <f>Questions!$S$2</f>
      </c>
      <c r="D32" s="56">
        <f>Questions!$T$2</f>
      </c>
    </row>
    <row r="33" spans="1:5" ht="57" customHeight="1" x14ac:dyDescent="0.2">
      <c r="A33" s="57" t="s">
        <v>70</v>
      </c>
      <c r="B33" s="57">
        <f>VLOOKUP($A33,Questions!$A$3:$X$333,2,0)&amp;""</f>
      </c>
      <c r="C33" s="57">
        <f>VLOOKUP($A33,Questions!$A$3:$X$333,19,0)&amp;""</f>
      </c>
      <c r="D33" s="57">
        <f>VLOOKUP($A33,Questions!$A$3:$X$333,20,0)&amp;""</f>
      </c>
    </row>
    <row r="34" spans="1:5" ht="57" customHeight="1" x14ac:dyDescent="0.2">
      <c r="A34" s="57" t="s">
        <v>76</v>
      </c>
      <c r="B34" s="57">
        <f>VLOOKUP($A34,Questions!$A$3:$X$333,2,0)&amp;""</f>
      </c>
      <c r="C34" s="57">
        <f>VLOOKUP($A34,Questions!$A$3:$X$333,19,0)&amp;""</f>
      </c>
      <c r="D34" s="57">
        <f>VLOOKUP($A34,Questions!$A$3:$X$333,20,0)&amp;""</f>
      </c>
    </row>
    <row r="35" spans="1:5" ht="35.25" customHeight="1" x14ac:dyDescent="0.2">
      <c r="A35" s="57" t="s">
        <v>77</v>
      </c>
      <c r="B35" s="57">
        <f>VLOOKUP($A35,Questions!$A$3:$X$333,2,0)&amp;""</f>
      </c>
      <c r="C35" s="57">
        <f>VLOOKUP($A35,Questions!$A$3:$X$333,19,0)&amp;""</f>
      </c>
      <c r="D35" s="57">
        <f>VLOOKUP($A35,Questions!$A$3:$X$333,20,0)&amp;""</f>
      </c>
    </row>
    <row r="36" spans="1:5" ht="60" x14ac:dyDescent="0.2">
      <c r="A36" s="57" t="s">
        <v>80</v>
      </c>
      <c r="B36" s="57">
        <f>VLOOKUP($A36,Questions!$A$3:$X$333,2,0)&amp;""</f>
      </c>
      <c r="C36" s="57">
        <f>VLOOKUP($A36,Questions!$A$3:$X$333,19,0)&amp;""</f>
      </c>
      <c r="D36" s="57">
        <f>VLOOKUP($A36,Questions!$A$3:$X$333,20,0)&amp;""</f>
      </c>
    </row>
    <row r="37" spans="1:5" ht="64.5" customHeight="1" x14ac:dyDescent="0.2">
      <c r="A37" s="57" t="s">
        <v>84</v>
      </c>
      <c r="B37" s="57">
        <f>VLOOKUP($A37,Questions!$A$3:$X$333,2,0)&amp;""</f>
      </c>
      <c r="C37" s="57">
        <f>VLOOKUP($A37,Questions!$A$3:$X$333,19,0)&amp;""</f>
      </c>
      <c r="D37" s="57">
        <f>VLOOKUP($A37,Questions!$A$3:$X$333,20,0)&amp;""</f>
      </c>
    </row>
    <row r="38" spans="1:5" ht="63.75" customHeight="1" x14ac:dyDescent="0.2">
      <c r="A38" s="57" t="s">
        <v>88</v>
      </c>
      <c r="B38" s="57">
        <f>VLOOKUP($A38,Questions!$A$3:$X$333,2,0)&amp;""</f>
      </c>
      <c r="C38" s="57">
        <f>VLOOKUP($A38,Questions!$A$3:$X$333,19,0)&amp;""</f>
      </c>
      <c r="D38" s="57">
        <f>VLOOKUP($A38,Questions!$A$3:$X$333,20,0)&amp;""</f>
      </c>
    </row>
    <row r="39" spans="1:5" ht="78" customHeight="1" x14ac:dyDescent="0.15">
      <c r="A39" s="57" t="s">
        <v>92</v>
      </c>
      <c r="B39" s="57">
        <f>VLOOKUP($A39,Questions!$A$3:$X$333,2,0)&amp;""</f>
      </c>
      <c r="C39" s="57">
        <f>VLOOKUP($A39,Questions!$A$3:$X$333,19,0)&amp;""</f>
      </c>
      <c r="D39" s="57">
        <f>VLOOKUP($A39,Questions!$A$3:$X$333,20,0)&amp;""</f>
      </c>
      <c r="E39" s="238" t="s">
        <v>1453</v>
      </c>
    </row>
    <row r="40" spans="1:5" ht="19" x14ac:dyDescent="0.2">
      <c r="A40" s="63">
        <f>VLOOKUP(LEFT($A41,4),'Auto Responses'!$N$4:$O$38,2,0)&amp;""</f>
        <v xml:space="preserve"> Assessment of Third Parties</v>
      </c>
      <c r="B40" s="63"/>
      <c r="C40" s="56" t="str">
        <f>Questions!$S$2</f>
      </c>
      <c r="D40" s="56">
        <f>Questions!$T$2</f>
      </c>
    </row>
    <row r="41" spans="1:5" ht="60" x14ac:dyDescent="0.2">
      <c r="A41" s="57" t="s">
        <v>130</v>
      </c>
      <c r="B41" s="57">
        <f>VLOOKUP($A41,Questions!$A$3:$X$333,2,0)&amp;""</f>
      </c>
      <c r="C41" s="57">
        <f>VLOOKUP($A41,Questions!$A$3:$X$333,19,0)&amp;""</f>
      </c>
      <c r="D41" s="57">
        <f>VLOOKUP($A41,Questions!$A$3:$X$333,20,0)&amp;""</f>
      </c>
    </row>
    <row r="42" spans="1:5" ht="45" x14ac:dyDescent="0.2">
      <c r="A42" s="57" t="s">
        <v>134</v>
      </c>
      <c r="B42" s="57">
        <f>VLOOKUP($A42,Questions!$A$3:$X$333,2,0)&amp;""</f>
      </c>
      <c r="C42" s="57">
        <f>VLOOKUP($A42,Questions!$A$3:$X$333,19,0)&amp;""</f>
      </c>
      <c r="D42" s="57">
        <f>VLOOKUP($A42,Questions!$A$3:$X$333,20,0)&amp;""</f>
      </c>
    </row>
    <row r="43" spans="1:5" ht="30" x14ac:dyDescent="0.2">
      <c r="A43" s="57" t="s">
        <v>136</v>
      </c>
      <c r="B43" s="57">
        <f>VLOOKUP($A43,Questions!$A$3:$X$333,2,0)&amp;""</f>
      </c>
      <c r="C43" s="57">
        <f>VLOOKUP($A43,Questions!$A$3:$X$333,19,0)&amp;""</f>
      </c>
      <c r="D43" s="57">
        <f>VLOOKUP($A43,Questions!$A$3:$X$333,20,0)&amp;""</f>
      </c>
    </row>
    <row r="44" spans="1:5" ht="105" x14ac:dyDescent="0.2">
      <c r="A44" s="57" t="s">
        <v>137</v>
      </c>
      <c r="B44" s="57">
        <f>VLOOKUP($A44,Questions!$A$3:$X$333,2,0)&amp;""</f>
      </c>
      <c r="C44" s="57">
        <f>VLOOKUP($A44,Questions!$A$3:$X$333,19,0)&amp;""</f>
      </c>
      <c r="D44" s="57">
        <f>VLOOKUP($A44,Questions!$A$3:$X$333,20,0)&amp;""</f>
      </c>
    </row>
    <row r="45" spans="1:5" ht="80.25" customHeight="1" x14ac:dyDescent="0.2">
      <c r="A45" s="57" t="s">
        <v>140</v>
      </c>
      <c r="B45" s="57">
        <f>VLOOKUP($A45,Questions!$A$3:$X$333,2,0)&amp;""</f>
      </c>
      <c r="C45" s="57">
        <f>VLOOKUP($A45,Questions!$A$3:$X$333,19,0)&amp;""</f>
      </c>
      <c r="D45" s="57">
        <f>VLOOKUP($A45,Questions!$A$3:$X$333,20,0)&amp;""</f>
      </c>
    </row>
    <row r="46" spans="1:5" ht="19" x14ac:dyDescent="0.2">
      <c r="A46" s="63">
        <f>VLOOKUP(LEFT($A47,4),'Auto Responses'!$N$4:$O$38,2,0)&amp;""</f>
        <v xml:space="preserve"> Change Management</v>
      </c>
      <c r="B46" s="63"/>
      <c r="C46" s="56" t="str">
        <f>Questions!$S$2</f>
      </c>
      <c r="D46" s="56">
        <f>Questions!$T$2</f>
      </c>
    </row>
    <row r="47" spans="1:5" ht="55.5" customHeight="1" x14ac:dyDescent="0.2">
      <c r="A47" s="57" t="s">
        <v>274</v>
      </c>
      <c r="B47" s="57">
        <f>VLOOKUP($A47,Questions!$A$3:$X$333,2,0)&amp;""</f>
      </c>
      <c r="C47" s="57">
        <f>VLOOKUP($A47,Questions!$A$3:$X$333,19,0)&amp;""</f>
      </c>
      <c r="D47" s="57">
        <f>VLOOKUP($A47,Questions!$A$3:$X$333,20,0)&amp;""</f>
      </c>
    </row>
    <row r="48" spans="1:5" ht="45" x14ac:dyDescent="0.2">
      <c r="A48" s="57" t="s">
        <v>279</v>
      </c>
      <c r="B48" s="57">
        <f>VLOOKUP($A48,Questions!$A$3:$X$333,2,0)&amp;""</f>
      </c>
      <c r="C48" s="57">
        <f>VLOOKUP($A48,Questions!$A$3:$X$333,19,0)&amp;""</f>
      </c>
      <c r="D48" s="57">
        <f>VLOOKUP($A48,Questions!$A$3:$X$333,20,0)&amp;""</f>
      </c>
    </row>
    <row r="49" spans="1:5" ht="59.25" customHeight="1" x14ac:dyDescent="0.2">
      <c r="A49" s="57" t="s">
        <v>280</v>
      </c>
      <c r="B49" s="57">
        <f>VLOOKUP($A49,Questions!$A$3:$X$333,2,0)&amp;""</f>
      </c>
      <c r="C49" s="57">
        <f>VLOOKUP($A49,Questions!$A$3:$X$333,19,0)&amp;""</f>
      </c>
      <c r="D49" s="57">
        <f>VLOOKUP($A49,Questions!$A$3:$X$333,20,0)&amp;""</f>
      </c>
    </row>
    <row r="50" spans="1:5" ht="45" x14ac:dyDescent="0.2">
      <c r="A50" s="57" t="s">
        <v>281</v>
      </c>
      <c r="B50" s="57">
        <f>VLOOKUP($A50,Questions!$A$3:$X$333,2,0)&amp;""</f>
      </c>
      <c r="C50" s="57">
        <f>VLOOKUP($A50,Questions!$A$3:$X$333,19,0)&amp;""</f>
      </c>
      <c r="D50" s="57">
        <f>VLOOKUP($A50,Questions!$A$3:$X$333,20,0)&amp;""</f>
      </c>
    </row>
    <row r="51" spans="1:5" ht="44.25" customHeight="1" x14ac:dyDescent="0.2">
      <c r="A51" s="57" t="s">
        <v>285</v>
      </c>
      <c r="B51" s="57">
        <f>VLOOKUP($A51,Questions!$A$3:$X$333,2,0)&amp;""</f>
      </c>
      <c r="C51" s="57">
        <f>VLOOKUP($A51,Questions!$A$3:$X$333,19,0)&amp;""</f>
      </c>
      <c r="D51" s="57">
        <f>VLOOKUP($A51,Questions!$A$3:$X$333,20,0)&amp;""</f>
      </c>
    </row>
    <row r="52" spans="1:5" ht="51" customHeight="1" x14ac:dyDescent="0.2">
      <c r="A52" s="57" t="s">
        <v>288</v>
      </c>
      <c r="B52" s="57">
        <f>VLOOKUP($A52,Questions!$A$3:$X$333,2,0)&amp;""</f>
      </c>
      <c r="C52" s="57">
        <f>VLOOKUP($A52,Questions!$A$3:$X$333,19,0)&amp;""</f>
      </c>
      <c r="D52" s="57">
        <f>VLOOKUP($A52,Questions!$A$3:$X$333,20,0)&amp;""</f>
      </c>
    </row>
    <row r="53" spans="1:5" ht="39" customHeight="1" x14ac:dyDescent="0.2">
      <c r="A53" s="57" t="s">
        <v>292</v>
      </c>
      <c r="B53" s="57">
        <f>VLOOKUP($A53,Questions!$A$3:$X$333,2,0)&amp;""</f>
      </c>
      <c r="C53" s="57">
        <f>VLOOKUP($A53,Questions!$A$3:$X$333,19,0)&amp;""</f>
      </c>
      <c r="D53" s="57">
        <f>VLOOKUP($A53,Questions!$A$3:$X$333,20,0)&amp;""</f>
      </c>
    </row>
    <row r="54" spans="1:5" ht="63.75" customHeight="1" x14ac:dyDescent="0.2">
      <c r="A54" s="57" t="s">
        <v>296</v>
      </c>
      <c r="B54" s="57">
        <f>VLOOKUP($A54,Questions!$A$3:$X$333,2,0)&amp;""</f>
      </c>
      <c r="C54" s="57">
        <f>VLOOKUP($A54,Questions!$A$3:$X$333,19,0)&amp;""</f>
      </c>
      <c r="D54" s="57">
        <f>VLOOKUP($A54,Questions!$A$3:$X$333,20,0)&amp;""</f>
      </c>
    </row>
    <row r="55" spans="1:5" ht="71.25" customHeight="1" x14ac:dyDescent="0.2">
      <c r="A55" s="57" t="s">
        <v>299</v>
      </c>
      <c r="B55" s="57">
        <f>VLOOKUP($A55,Questions!$A$3:$X$333,2,0)&amp;""</f>
      </c>
      <c r="C55" s="57">
        <f>VLOOKUP($A55,Questions!$A$3:$X$333,19,0)&amp;""</f>
      </c>
      <c r="D55" s="57">
        <f>VLOOKUP($A55,Questions!$A$3:$X$333,20,0)&amp;""</f>
      </c>
    </row>
    <row r="56" spans="1:5" ht="51" customHeight="1" x14ac:dyDescent="0.2">
      <c r="A56" s="57" t="s">
        <v>302</v>
      </c>
      <c r="B56" s="57">
        <f>VLOOKUP($A56,Questions!$A$3:$X$333,2,0)&amp;""</f>
      </c>
      <c r="C56" s="57">
        <f>VLOOKUP($A56,Questions!$A$3:$X$333,19,0)&amp;""</f>
      </c>
      <c r="D56" s="57">
        <f>VLOOKUP($A56,Questions!$A$3:$X$333,20,0)&amp;""</f>
      </c>
    </row>
    <row r="57" spans="1:5" ht="52.5" customHeight="1" x14ac:dyDescent="0.2">
      <c r="A57" s="57" t="s">
        <v>304</v>
      </c>
      <c r="B57" s="57">
        <f>VLOOKUP($A57,Questions!$A$3:$X$333,2,0)&amp;""</f>
      </c>
      <c r="C57" s="57">
        <f>VLOOKUP($A57,Questions!$A$3:$X$333,19,0)&amp;""</f>
      </c>
      <c r="D57" s="57">
        <f>VLOOKUP($A57,Questions!$A$3:$X$333,20,0)&amp;""</f>
      </c>
    </row>
    <row r="58" spans="1:5" ht="30" x14ac:dyDescent="0.15">
      <c r="A58" s="57" t="s">
        <v>308</v>
      </c>
      <c r="B58" s="57">
        <f>VLOOKUP($A58,Questions!$A$3:$X$333,2,0)&amp;""</f>
      </c>
      <c r="C58" s="57">
        <f>VLOOKUP($A58,Questions!$A$3:$X$333,19,0)&amp;""</f>
      </c>
      <c r="D58" s="57">
        <f>VLOOKUP($A58,Questions!$A$3:$X$333,20,0)&amp;""</f>
      </c>
      <c r="E58" s="238" t="s">
        <v>1453</v>
      </c>
    </row>
    <row r="59" spans="1:5" ht="75" x14ac:dyDescent="0.2">
      <c r="A59" s="57" t="s">
        <v>311</v>
      </c>
      <c r="B59" s="57">
        <f>VLOOKUP($A59,Questions!$A$3:$X$333,2,0)&amp;""</f>
      </c>
      <c r="C59" s="57">
        <f>VLOOKUP($A59,Questions!$A$3:$X$333,19,0)&amp;""</f>
      </c>
      <c r="D59" s="57">
        <f>VLOOKUP($A59,Questions!$A$3:$X$333,20,0)&amp;""</f>
      </c>
    </row>
    <row r="60" spans="1:5" ht="65.25" customHeight="1" x14ac:dyDescent="0.2">
      <c r="A60" s="57" t="s">
        <v>315</v>
      </c>
      <c r="B60" s="57">
        <f>VLOOKUP($A60,Questions!$A$3:$X$333,2,0)&amp;""</f>
      </c>
      <c r="C60" s="57">
        <f>VLOOKUP($A60,Questions!$A$3:$X$333,19,0)&amp;""</f>
      </c>
      <c r="D60" s="57">
        <f>VLOOKUP($A60,Questions!$A$3:$X$333,20,0)&amp;""</f>
      </c>
    </row>
    <row r="61" spans="1:5" ht="52.5" customHeight="1" x14ac:dyDescent="0.2">
      <c r="A61" s="57" t="s">
        <v>319</v>
      </c>
      <c r="B61" s="57">
        <f>VLOOKUP($A61,Questions!$A$3:$X$333,2,0)&amp;""</f>
      </c>
      <c r="C61" s="57">
        <f>VLOOKUP($A61,Questions!$A$3:$X$333,19,0)&amp;""</f>
      </c>
      <c r="D61" s="57">
        <f>VLOOKUP($A61,Questions!$A$3:$X$333,20,0)&amp;""</f>
      </c>
    </row>
    <row r="62" spans="1:5" ht="66.75" customHeight="1" x14ac:dyDescent="0.2">
      <c r="A62" s="57" t="s">
        <v>321</v>
      </c>
      <c r="B62" s="57">
        <f>VLOOKUP($A62,Questions!$A$3:$X$333,2,0)&amp;""</f>
      </c>
      <c r="C62" s="57">
        <f>VLOOKUP($A62,Questions!$A$3:$X$333,19,0)&amp;""</f>
      </c>
      <c r="D62" s="57">
        <f>VLOOKUP($A62,Questions!$A$3:$X$333,20,0)&amp;""</f>
      </c>
    </row>
    <row r="63" spans="1:5" ht="19" x14ac:dyDescent="0.2">
      <c r="A63" s="63">
        <f>VLOOKUP(LEFT($A64,4),'Auto Responses'!$N$4:$O$38,2,0)&amp;""</f>
        <v xml:space="preserve"> Policies, Processes, and Procedures</v>
      </c>
      <c r="B63" s="63"/>
      <c r="C63" s="56" t="str">
        <f>Questions!$S$2</f>
      </c>
      <c r="D63" s="56">
        <f>Questions!$T$2</f>
      </c>
    </row>
    <row r="64" spans="1:5" ht="75" customHeight="1" x14ac:dyDescent="0.15">
      <c r="A64" s="57" t="s">
        <v>503</v>
      </c>
      <c r="B64" s="57">
        <f>VLOOKUP($A64,Questions!$A$3:$X$333,2,0)&amp;""</f>
      </c>
      <c r="C64" s="57">
        <f>VLOOKUP($A64,Questions!$A$3:$X$333,19,0)&amp;""</f>
      </c>
      <c r="D64" s="57">
        <f>VLOOKUP($A64,Questions!$A$3:$X$333,20,0)&amp;""</f>
      </c>
      <c r="E64" s="238" t="s">
        <v>1453</v>
      </c>
    </row>
    <row r="65" spans="1:5" ht="49.5" customHeight="1" x14ac:dyDescent="0.2">
      <c r="A65" s="57" t="s">
        <v>504</v>
      </c>
      <c r="B65" s="57">
        <f>VLOOKUP($A65,Questions!$A$3:$X$333,2,0)&amp;""</f>
      </c>
      <c r="C65" s="57">
        <f>VLOOKUP($A65,Questions!$A$3:$X$333,19,0)&amp;""</f>
      </c>
      <c r="D65" s="57">
        <f>VLOOKUP($A65,Questions!$A$3:$X$333,20,0)&amp;""</f>
      </c>
    </row>
    <row r="66" spans="1:5" ht="51" customHeight="1" x14ac:dyDescent="0.2">
      <c r="A66" s="57" t="s">
        <v>506</v>
      </c>
      <c r="B66" s="57">
        <f>VLOOKUP($A66,Questions!$A$3:$X$333,2,0)&amp;""</f>
      </c>
      <c r="C66" s="57">
        <f>VLOOKUP($A66,Questions!$A$3:$X$333,19,0)&amp;""</f>
      </c>
      <c r="D66" s="57">
        <f>VLOOKUP($A66,Questions!$A$3:$X$333,20,0)&amp;""</f>
      </c>
    </row>
    <row r="67" spans="1:5" ht="70.5" customHeight="1" x14ac:dyDescent="0.2">
      <c r="A67" s="57" t="s">
        <v>510</v>
      </c>
      <c r="B67" s="57">
        <f>VLOOKUP($A67,Questions!$A$3:$X$333,2,0)&amp;""</f>
      </c>
      <c r="C67" s="57">
        <f>VLOOKUP($A67,Questions!$A$3:$X$333,19,0)&amp;""</f>
      </c>
      <c r="D67" s="57">
        <f>VLOOKUP($A67,Questions!$A$3:$X$333,20,0)&amp;""</f>
      </c>
    </row>
    <row r="68" spans="1:5" ht="45" x14ac:dyDescent="0.2">
      <c r="A68" s="57" t="s">
        <v>514</v>
      </c>
      <c r="B68" s="57">
        <f>VLOOKUP($A68,Questions!$A$3:$X$333,2,0)&amp;""</f>
      </c>
      <c r="C68" s="57">
        <f>VLOOKUP($A68,Questions!$A$3:$X$333,19,0)&amp;""</f>
      </c>
      <c r="D68" s="57">
        <f>VLOOKUP($A68,Questions!$A$3:$X$333,20,0)&amp;""</f>
      </c>
    </row>
    <row r="69" spans="1:5" ht="65.25" customHeight="1" x14ac:dyDescent="0.2">
      <c r="A69" s="57" t="s">
        <v>517</v>
      </c>
      <c r="B69" s="57">
        <f>VLOOKUP($A69,Questions!$A$3:$X$333,2,0)&amp;""</f>
      </c>
      <c r="C69" s="57">
        <f>VLOOKUP($A69,Questions!$A$3:$X$333,19,0)&amp;""</f>
      </c>
      <c r="D69" s="57">
        <f>VLOOKUP($A69,Questions!$A$3:$X$333,20,0)&amp;""</f>
      </c>
    </row>
    <row r="70" spans="1:5" ht="71.25" customHeight="1" x14ac:dyDescent="0.2">
      <c r="A70" s="57" t="s">
        <v>520</v>
      </c>
      <c r="B70" s="57">
        <f>VLOOKUP($A70,Questions!$A$3:$X$333,2,0)&amp;""</f>
      </c>
      <c r="C70" s="57">
        <f>VLOOKUP($A70,Questions!$A$3:$X$333,19,0)&amp;""</f>
      </c>
      <c r="D70" s="57">
        <f>VLOOKUP($A70,Questions!$A$3:$X$333,20,0)&amp;""</f>
      </c>
    </row>
    <row r="71" spans="1:5" ht="135" x14ac:dyDescent="0.2">
      <c r="A71" s="57" t="s">
        <v>522</v>
      </c>
      <c r="B71" s="57">
        <f>VLOOKUP($A71,Questions!$A$3:$X$333,2,0)&amp;""</f>
      </c>
      <c r="C71" s="57">
        <f>VLOOKUP($A71,Questions!$A$3:$X$333,19,0)&amp;""</f>
      </c>
      <c r="D71" s="57">
        <f>VLOOKUP($A71,Questions!$A$3:$X$333,20,0)&amp;""</f>
      </c>
    </row>
    <row r="72" spans="1:5" s="59" customFormat="1" ht="67.5" customHeight="1" x14ac:dyDescent="0.2">
      <c r="A72" s="57" t="s">
        <v>526</v>
      </c>
      <c r="B72" s="57">
        <f>VLOOKUP($A72,Questions!$A$3:$X$333,2,0)&amp;""</f>
      </c>
      <c r="C72" s="57">
        <f>VLOOKUP($A72,Questions!$A$3:$X$333,19,0)&amp;""</f>
      </c>
      <c r="D72" s="57">
        <f>VLOOKUP($A72,Questions!$A$3:$X$333,20,0)&amp;""</f>
      </c>
    </row>
    <row r="73" spans="1:5" ht="62.25" customHeight="1" x14ac:dyDescent="0.2">
      <c r="A73" s="57" t="s">
        <v>531</v>
      </c>
      <c r="B73" s="57">
        <f>VLOOKUP($A73,Questions!$A$3:$X$333,2,0)&amp;""</f>
      </c>
      <c r="C73" s="57">
        <f>VLOOKUP($A73,Questions!$A$3:$X$333,19,0)&amp;""</f>
      </c>
      <c r="D73" s="57">
        <f>VLOOKUP($A73,Questions!$A$3:$X$333,20,0)&amp;""</f>
      </c>
    </row>
    <row r="74" spans="1:5" s="59" customFormat="1" ht="70.5" customHeight="1" x14ac:dyDescent="0.15">
      <c r="A74" s="57" t="s">
        <v>535</v>
      </c>
      <c r="B74" s="57">
        <f>VLOOKUP($A74,Questions!$A$3:$X$333,2,0)&amp;""</f>
      </c>
      <c r="C74" s="57">
        <f>VLOOKUP($A74,Questions!$A$3:$X$333,19,0)&amp;""</f>
      </c>
      <c r="D74" s="57">
        <f>VLOOKUP($A74,Questions!$A$3:$X$333,20,0)&amp;""</f>
      </c>
      <c r="E74" s="238" t="s">
        <v>1453</v>
      </c>
    </row>
    <row r="75" spans="1:5" ht="60" x14ac:dyDescent="0.2">
      <c r="A75" s="57" t="s">
        <v>540</v>
      </c>
      <c r="B75" s="57">
        <f>VLOOKUP($A75,Questions!$A$3:$X$333,2,0)&amp;""</f>
      </c>
      <c r="C75" s="57">
        <f>VLOOKUP($A75,Questions!$A$3:$X$333,19,0)&amp;""</f>
      </c>
      <c r="D75" s="57">
        <f>VLOOKUP($A75,Questions!$A$3:$X$333,20,0)&amp;""</f>
      </c>
    </row>
    <row r="76" spans="1:5" ht="72" customHeight="1" x14ac:dyDescent="0.2">
      <c r="A76" s="57" t="s">
        <v>544</v>
      </c>
      <c r="B76" s="57">
        <f>VLOOKUP($A76,Questions!$A$3:$X$333,2,0)&amp;""</f>
      </c>
      <c r="C76" s="57">
        <f>VLOOKUP($A76,Questions!$A$3:$X$333,19,0)&amp;""</f>
      </c>
      <c r="D76" s="57">
        <f>VLOOKUP($A76,Questions!$A$3:$X$333,20,0)&amp;""</f>
      </c>
    </row>
    <row r="77" spans="1:5" ht="72" customHeight="1" x14ac:dyDescent="0.2">
      <c r="A77" s="57" t="s">
        <v>548</v>
      </c>
      <c r="B77" s="57">
        <f>VLOOKUP($A77,Questions!$A$3:$X$333,2,0)&amp;""</f>
      </c>
      <c r="C77" s="57">
        <f>VLOOKUP($A77,Questions!$A$3:$X$333,19,0)&amp;""</f>
      </c>
      <c r="D77" s="57">
        <f>VLOOKUP($A77,Questions!$A$3:$X$333,20,0)&amp;""</f>
      </c>
    </row>
    <row r="78" spans="1:5" ht="54.75" customHeight="1" x14ac:dyDescent="0.2">
      <c r="A78" s="57" t="s">
        <v>553</v>
      </c>
      <c r="B78" s="57">
        <f>VLOOKUP($A78,Questions!$A$3:$X$333,2,0)&amp;""</f>
      </c>
      <c r="C78" s="57">
        <f>VLOOKUP($A78,Questions!$A$3:$X$333,19,0)&amp;""</f>
      </c>
      <c r="D78" s="57">
        <f>VLOOKUP($A78,Questions!$A$3:$X$333,20,0)&amp;""</f>
      </c>
    </row>
    <row r="79" spans="1:5" ht="19" x14ac:dyDescent="0.2">
      <c r="A79" s="63">
        <f>VLOOKUP(LEFT($A80,4),'Auto Responses'!$N$4:$O$38,2,0)&amp;""</f>
        <v xml:space="preserve"> Authentication, Authorization, and Account Management</v>
      </c>
      <c r="B79" s="63"/>
      <c r="C79" s="56" t="str">
        <f>Questions!$S$2</f>
      </c>
      <c r="D79" s="56">
        <f>Questions!$T$2</f>
      </c>
    </row>
    <row r="80" spans="1:5" ht="75" customHeight="1" x14ac:dyDescent="0.2">
      <c r="A80" s="57" t="s">
        <v>216</v>
      </c>
      <c r="B80" s="57">
        <f>VLOOKUP($A80,Questions!$A$3:$X$333,2,0)&amp;""</f>
      </c>
      <c r="C80" s="57">
        <f>VLOOKUP($A80,Questions!$A$3:$X$333,19,0)&amp;""</f>
      </c>
      <c r="D80" s="57">
        <f>VLOOKUP($A80,Questions!$A$3:$X$333,20,0)&amp;""</f>
      </c>
    </row>
    <row r="81" spans="1:5" ht="67.5" customHeight="1" x14ac:dyDescent="0.2">
      <c r="A81" s="57" t="s">
        <v>221</v>
      </c>
      <c r="B81" s="57">
        <f>VLOOKUP($A81,Questions!$A$3:$X$333,2,0)&amp;""</f>
      </c>
      <c r="C81" s="57">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f>VLOOKUP($A81,Questions!$A$3:$X$333,20,0)&amp;""</f>
      </c>
    </row>
    <row r="82" spans="1:5" s="59" customFormat="1" ht="53.25" customHeight="1" x14ac:dyDescent="0.2">
      <c r="A82" s="57" t="s">
        <v>225</v>
      </c>
      <c r="B82" s="57">
        <f>VLOOKUP($A82,Questions!$A$3:$X$333,2,0)&amp;""</f>
      </c>
      <c r="C82" s="57">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f>VLOOKUP($A82,Questions!$A$3:$X$333,20,0)&amp;""</f>
      </c>
    </row>
    <row r="83" spans="1:5" ht="59.25" customHeight="1" x14ac:dyDescent="0.2">
      <c r="A83" s="57" t="s">
        <v>226</v>
      </c>
      <c r="B83" s="57">
        <f>VLOOKUP($A83,Questions!$A$3:$X$333,2,0)&amp;""</f>
      </c>
      <c r="C83" s="57">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f>VLOOKUP($A83,Questions!$A$3:$X$333,20,0)&amp;""</f>
      </c>
    </row>
    <row r="84" spans="1:5" ht="72.75" customHeight="1" x14ac:dyDescent="0.2">
      <c r="A84" s="57" t="s">
        <v>230</v>
      </c>
      <c r="B84" s="57">
        <f>VLOOKUP($A84,Questions!$A$3:$X$333,2,0)&amp;""</f>
      </c>
      <c r="C84" s="57">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f>VLOOKUP($A84,Questions!$A$3:$X$333,20,0)&amp;""</f>
      </c>
    </row>
    <row r="85" spans="1:5" ht="63" customHeight="1" x14ac:dyDescent="0.2">
      <c r="A85" s="57" t="s">
        <v>233</v>
      </c>
      <c r="B85" s="57">
        <f>VLOOKUP($A85,Questions!$A$3:$X$333,2,0)&amp;""</f>
      </c>
      <c r="C85" s="57">
        <f>VLOOKUP($A85,Questions!$A$3:$X$333,19,0)&amp;""</f>
      </c>
      <c r="D85" s="57">
        <f>VLOOKUP($A85,Questions!$A$3:$X$333,20,0)&amp;""</f>
      </c>
      <c r="E85" s="51"/>
    </row>
    <row r="86" spans="1:5" ht="52.5" customHeight="1" x14ac:dyDescent="0.2">
      <c r="A86" s="57" t="s">
        <v>236</v>
      </c>
      <c r="B86" s="57">
        <f>VLOOKUP($A86,Questions!$A$3:$X$333,2,0)&amp;""</f>
      </c>
      <c r="C86" s="57">
        <f>VLOOKUP($A86,Questions!$A$3:$X$333,19,0)&amp;""</f>
      </c>
      <c r="D86" s="57">
        <f>VLOOKUP($A86,Questions!$A$3:$X$333,20,0)&amp;""</f>
      </c>
      <c r="E86" s="58"/>
    </row>
    <row r="87" spans="1:5" ht="55.5" customHeight="1" x14ac:dyDescent="0.2">
      <c r="A87" s="57" t="s">
        <v>239</v>
      </c>
      <c r="B87" s="57">
        <f>VLOOKUP($A87,Questions!$A$3:$X$333,2,0)&amp;""</f>
      </c>
      <c r="C87" s="57">
        <f>VLOOKUP($A87,Questions!$A$3:$X$333,19,0)&amp;""</f>
      </c>
      <c r="D87" s="57">
        <f>VLOOKUP($A87,Questions!$A$3:$X$333,20,0)&amp;""</f>
      </c>
    </row>
    <row r="88" spans="1:5" ht="58.5" customHeight="1" x14ac:dyDescent="0.2">
      <c r="A88" s="57" t="s">
        <v>242</v>
      </c>
      <c r="B88" s="57">
        <f>VLOOKUP($A88,Questions!$A$3:$X$333,2,0)&amp;""</f>
      </c>
      <c r="C88" s="57">
        <f>VLOOKUP($A88,Questions!$A$3:$X$333,19,0)&amp;""</f>
      </c>
      <c r="D88" s="57">
        <f>VLOOKUP($A88,Questions!$A$3:$X$333,20,0)&amp;""</f>
      </c>
    </row>
    <row r="89" spans="1:5" ht="89.25" customHeight="1" x14ac:dyDescent="0.15">
      <c r="A89" s="57" t="s">
        <v>245</v>
      </c>
      <c r="B89" s="57">
        <f>VLOOKUP($A89,Questions!$A$3:$X$333,2,0)&amp;""</f>
      </c>
      <c r="C89" s="57">
        <f>VLOOKUP($A89,Questions!$A$3:$X$333,19,0)&amp;""</f>
      </c>
      <c r="D89" s="57">
        <f>VLOOKUP($A89,Questions!$A$3:$X$333,20,0)&amp;""</f>
      </c>
      <c r="E89" s="238" t="s">
        <v>1453</v>
      </c>
    </row>
    <row r="90" spans="1:5" ht="69.75" customHeight="1" x14ac:dyDescent="0.2">
      <c r="A90" s="57" t="s">
        <v>249</v>
      </c>
      <c r="B90" s="57">
        <f>VLOOKUP($A90,Questions!$A$3:$X$333,2,0)&amp;""</f>
      </c>
      <c r="C90" s="57">
        <f>VLOOKUP($A90,Questions!$A$3:$X$333,19,0)&amp;""</f>
      </c>
      <c r="D90" s="57">
        <f>VLOOKUP($A90,Questions!$A$3:$X$333,20,0)&amp;""</f>
      </c>
    </row>
    <row r="91" spans="1:5" ht="78" customHeight="1" x14ac:dyDescent="0.2">
      <c r="A91" s="57" t="s">
        <v>253</v>
      </c>
      <c r="B91" s="57">
        <f>VLOOKUP($A91,Questions!$A$3:$X$333,2,0)&amp;""</f>
      </c>
      <c r="C91" s="57">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f>VLOOKUP($A91,Questions!$A$3:$X$333,20,0)&amp;""</f>
      </c>
    </row>
    <row r="92" spans="1:5" ht="46.5" customHeight="1" x14ac:dyDescent="0.2">
      <c r="A92" s="57" t="s">
        <v>255</v>
      </c>
      <c r="B92" s="57">
        <f>VLOOKUP($A92,Questions!$A$3:$X$333,2,0)&amp;""</f>
      </c>
      <c r="C92" s="57">
        <f>VLOOKUP($A92,Questions!$A$3:$X$333,19,0)&amp;""</f>
      </c>
      <c r="D92" s="57">
        <f>VLOOKUP($A92,Questions!$A$3:$X$333,20,0)&amp;""</f>
      </c>
    </row>
    <row r="93" spans="1:5" ht="75" x14ac:dyDescent="0.2">
      <c r="A93" s="57" t="s">
        <v>260</v>
      </c>
      <c r="B93" s="57">
        <f>VLOOKUP($A93,Questions!$A$3:$X$333,2,0)&amp;""</f>
      </c>
      <c r="C93" s="57">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f>VLOOKUP($A93,Questions!$A$3:$X$333,20,0)&amp;""</f>
      </c>
    </row>
    <row r="94" spans="1:5" ht="60" x14ac:dyDescent="0.2">
      <c r="A94" s="57" t="s">
        <v>261</v>
      </c>
      <c r="B94" s="57">
        <f>VLOOKUP($A94,Questions!$A$3:$X$333,2,0)&amp;""</f>
      </c>
      <c r="C94" s="57">
        <f>VLOOKUP($A94,Questions!$A$3:$X$333,19,0)&amp;""</f>
      </c>
      <c r="D94" s="57">
        <f>VLOOKUP($A94,Questions!$A$3:$X$333,20,0)&amp;""</f>
      </c>
    </row>
    <row r="95" spans="1:5" ht="57" customHeight="1" x14ac:dyDescent="0.2">
      <c r="A95" s="57" t="s">
        <v>265</v>
      </c>
      <c r="B95" s="57">
        <f>VLOOKUP($A95,Questions!$A$3:$X$333,2,0)&amp;""</f>
      </c>
      <c r="C95" s="57">
        <f>VLOOKUP($A95,Questions!$A$3:$X$333,19,0)&amp;""</f>
      </c>
      <c r="D95" s="57">
        <f>VLOOKUP($A95,Questions!$A$3:$X$333,20,0)&amp;""</f>
      </c>
    </row>
    <row r="96" spans="1:5" ht="67.5" customHeight="1" x14ac:dyDescent="0.2">
      <c r="A96" s="57" t="s">
        <v>268</v>
      </c>
      <c r="B96" s="57">
        <f>VLOOKUP($A96,Questions!$A$3:$X$333,2,0)&amp;""</f>
      </c>
      <c r="C96" s="57">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f>VLOOKUP($A96,Questions!$A$3:$X$333,20,0)&amp;""</f>
      </c>
    </row>
    <row r="97" spans="1:5" ht="30" x14ac:dyDescent="0.2">
      <c r="A97" s="57" t="s">
        <v>271</v>
      </c>
      <c r="B97" s="57">
        <f>VLOOKUP($A97,Questions!$A$3:$X$333,2,0)&amp;""</f>
      </c>
      <c r="C97" s="57">
        <f>VLOOKUP($A97,Questions!$A$3:$X$333,19,0)&amp;""</f>
      </c>
      <c r="D97" s="57">
        <f>VLOOKUP($A97,Questions!$A$3:$X$333,20,0)&amp;""</f>
      </c>
    </row>
    <row r="98" spans="1:5" ht="19" x14ac:dyDescent="0.2">
      <c r="A98" s="63">
        <f>VLOOKUP(LEFT($A99,4),'Auto Responses'!$N$4:$O$38,2,0)&amp;""</f>
        <v xml:space="preserve"> Data</v>
      </c>
      <c r="B98" s="63"/>
      <c r="C98" s="56" t="str">
        <f>Questions!$S$2</f>
      </c>
      <c r="D98" s="56">
        <f>Questions!$T$2</f>
      </c>
    </row>
    <row r="99" spans="1:5" ht="51" customHeight="1" x14ac:dyDescent="0.2">
      <c r="A99" s="57" t="s">
        <v>325</v>
      </c>
      <c r="B99" s="57">
        <f>VLOOKUP($A99,Questions!$A$3:$X$333,2,0)&amp;""</f>
      </c>
      <c r="C99" s="57">
        <f>VLOOKUP($A99,Questions!$A$3:$X$333,19,0)&amp;""</f>
      </c>
      <c r="D99" s="57">
        <f>VLOOKUP($A99,Questions!$A$3:$X$333,20,0)&amp;""</f>
      </c>
    </row>
    <row r="100" spans="1:5" ht="57" customHeight="1" x14ac:dyDescent="0.2">
      <c r="A100" s="57" t="s">
        <v>329</v>
      </c>
      <c r="B100" s="57">
        <f>VLOOKUP($A100,Questions!$A$3:$X$333,2,0)&amp;""</f>
      </c>
      <c r="C100" s="57">
        <f>VLOOKUP($A100,Questions!$A$3:$X$333,19,0)&amp;""</f>
      </c>
      <c r="D100" s="57">
        <f>VLOOKUP($A100,Questions!$A$3:$X$333,20,0)&amp;""</f>
      </c>
    </row>
    <row r="101" spans="1:5" ht="75.75" customHeight="1" x14ac:dyDescent="0.2">
      <c r="A101" s="57" t="s">
        <v>332</v>
      </c>
      <c r="B101" s="57">
        <f>VLOOKUP($A101,Questions!$A$3:$X$333,2,0)&amp;""</f>
      </c>
      <c r="C101" s="57">
        <f>VLOOKUP($A101,Questions!$A$3:$X$333,19,0)&amp;""</f>
      </c>
      <c r="D101" s="57">
        <f>VLOOKUP($A101,Questions!$A$3:$X$333,20,0)&amp;""</f>
      </c>
    </row>
    <row r="102" spans="1:5" ht="68.25" customHeight="1" x14ac:dyDescent="0.2">
      <c r="A102" s="57" t="s">
        <v>336</v>
      </c>
      <c r="B102" s="57">
        <f>VLOOKUP($A102,Questions!$A$3:$X$333,2,0)&amp;""</f>
      </c>
      <c r="C102" s="57">
        <f>VLOOKUP($A102,Questions!$A$3:$X$333,19,0)&amp;""</f>
      </c>
      <c r="D102" s="57">
        <f>VLOOKUP($A102,Questions!$A$3:$X$333,20,0)&amp;""</f>
      </c>
      <c r="E102" s="51"/>
    </row>
    <row r="103" spans="1:5" ht="54" customHeight="1" x14ac:dyDescent="0.2">
      <c r="A103" s="57" t="s">
        <v>341</v>
      </c>
      <c r="B103" s="57">
        <f>VLOOKUP($A103,Questions!$A$3:$X$333,2,0)&amp;""</f>
      </c>
      <c r="C103" s="57">
        <f>VLOOKUP($A103,Questions!$A$3:$X$333,19,0)&amp;""</f>
      </c>
      <c r="D103" s="57">
        <f>VLOOKUP($A103,Questions!$A$3:$X$333,20,0)&amp;""</f>
      </c>
      <c r="E103" s="58"/>
    </row>
    <row r="104" spans="1:5" ht="51" customHeight="1" x14ac:dyDescent="0.2">
      <c r="A104" s="57" t="s">
        <v>344</v>
      </c>
      <c r="B104" s="57">
        <f>VLOOKUP($A104,Questions!$A$3:$X$333,2,0)&amp;""</f>
      </c>
      <c r="C104" s="57">
        <f>VLOOKUP($A104,Questions!$A$3:$X$333,19,0)&amp;""</f>
      </c>
      <c r="D104" s="57">
        <f>VLOOKUP($A104,Questions!$A$3:$X$333,20,0)&amp;""</f>
      </c>
    </row>
    <row r="105" spans="1:5" ht="61.5" customHeight="1" x14ac:dyDescent="0.2">
      <c r="A105" s="57" t="s">
        <v>346</v>
      </c>
      <c r="B105" s="57">
        <f>VLOOKUP($A105,Questions!$A$3:$X$333,2,0)&amp;""</f>
      </c>
      <c r="C105" s="57">
        <f>VLOOKUP($A105,Questions!$A$3:$X$333,19,0)&amp;""</f>
      </c>
      <c r="D105" s="57">
        <f>VLOOKUP($A105,Questions!$A$3:$X$333,20,0)&amp;""</f>
      </c>
    </row>
    <row r="106" spans="1:5" ht="66.75" customHeight="1" x14ac:dyDescent="0.2">
      <c r="A106" s="57" t="s">
        <v>348</v>
      </c>
      <c r="B106" s="57">
        <f>VLOOKUP($A106,Questions!$A$3:$X$333,2,0)&amp;""</f>
      </c>
      <c r="C106" s="57">
        <f>VLOOKUP($A106,Questions!$A$3:$X$333,19,0)&amp;""</f>
      </c>
      <c r="D106" s="57">
        <f>VLOOKUP($A106,Questions!$A$3:$X$333,20,0)&amp;""</f>
      </c>
    </row>
    <row r="107" spans="1:5" ht="86.25" customHeight="1" x14ac:dyDescent="0.2">
      <c r="A107" s="57" t="s">
        <v>352</v>
      </c>
      <c r="B107" s="57">
        <f>VLOOKUP($A107,Questions!$A$3:$X$333,2,0)&amp;""</f>
      </c>
      <c r="C107" s="57">
        <f>VLOOKUP($A107,Questions!$A$3:$X$333,19,0)&amp;""</f>
      </c>
      <c r="D107" s="57">
        <f>VLOOKUP($A107,Questions!$A$3:$X$333,20,0)&amp;""</f>
      </c>
    </row>
    <row r="108" spans="1:5" ht="45" x14ac:dyDescent="0.2">
      <c r="A108" s="57" t="s">
        <v>355</v>
      </c>
      <c r="B108" s="57">
        <f>VLOOKUP($A108,Questions!$A$3:$X$333,2,0)&amp;""</f>
      </c>
      <c r="C108" s="57">
        <f>VLOOKUP($A108,Questions!$A$3:$X$333,19,0)&amp;""</f>
      </c>
      <c r="D108" s="57">
        <f>VLOOKUP($A108,Questions!$A$3:$X$333,20,0)&amp;""</f>
      </c>
    </row>
    <row r="109" spans="1:5" ht="49.5" customHeight="1" x14ac:dyDescent="0.2">
      <c r="A109" s="57" t="s">
        <v>359</v>
      </c>
      <c r="B109" s="57">
        <f>VLOOKUP($A109,Questions!$A$3:$X$333,2,0)&amp;""</f>
      </c>
      <c r="C109" s="57">
        <f>VLOOKUP($A109,Questions!$A$3:$X$333,19,0)&amp;""</f>
      </c>
      <c r="D109" s="57">
        <f>VLOOKUP($A109,Questions!$A$3:$X$333,20,0)&amp;""</f>
      </c>
    </row>
    <row r="110" spans="1:5" ht="64.5" customHeight="1" x14ac:dyDescent="0.2">
      <c r="A110" s="57" t="s">
        <v>363</v>
      </c>
      <c r="B110" s="57">
        <f>VLOOKUP($A110,Questions!$A$3:$X$333,2,0)&amp;""</f>
      </c>
      <c r="C110" s="57">
        <f>VLOOKUP($A110,Questions!$A$3:$X$333,19,0)&amp;""</f>
      </c>
      <c r="D110" s="57">
        <f>VLOOKUP($A110,Questions!$A$3:$X$333,20,0)&amp;""</f>
      </c>
    </row>
    <row r="111" spans="1:5" ht="60.75" customHeight="1" x14ac:dyDescent="0.2">
      <c r="A111" s="57" t="s">
        <v>369</v>
      </c>
      <c r="B111" s="57">
        <f>VLOOKUP($A111,Questions!$A$3:$X$333,2,0)&amp;""</f>
      </c>
      <c r="C111" s="57">
        <f>VLOOKUP($A111,Questions!$A$3:$X$333,19,0)&amp;""</f>
      </c>
      <c r="D111" s="57">
        <f>VLOOKUP($A111,Questions!$A$3:$X$333,20,0)&amp;""</f>
      </c>
    </row>
    <row r="112" spans="1:5" ht="58.5" customHeight="1" x14ac:dyDescent="0.2">
      <c r="A112" s="57" t="s">
        <v>373</v>
      </c>
      <c r="B112" s="57">
        <f>VLOOKUP($A112,Questions!$A$3:$X$333,2,0)&amp;""</f>
      </c>
      <c r="C112" s="57">
        <f>VLOOKUP($A112,Questions!$A$3:$X$333,19,0)&amp;""</f>
      </c>
      <c r="D112" s="57">
        <f>VLOOKUP($A112,Questions!$A$3:$X$333,20,0)&amp;""</f>
      </c>
    </row>
    <row r="113" spans="1:5" ht="60" x14ac:dyDescent="0.2">
      <c r="A113" s="57" t="s">
        <v>374</v>
      </c>
      <c r="B113" s="57">
        <f>VLOOKUP($A113,Questions!$A$3:$X$333,2,0)&amp;""</f>
      </c>
      <c r="C113" s="57">
        <f>VLOOKUP($A113,Questions!$A$3:$X$333,19,0)&amp;""</f>
      </c>
      <c r="D113" s="57">
        <f>VLOOKUP($A113,Questions!$A$3:$X$333,20,0)&amp;""</f>
      </c>
    </row>
    <row r="114" spans="1:5" ht="66.75" customHeight="1" x14ac:dyDescent="0.15">
      <c r="A114" s="57" t="s">
        <v>375</v>
      </c>
      <c r="B114" s="57">
        <f>VLOOKUP($A114,Questions!$A$3:$X$333,2,0)&amp;""</f>
      </c>
      <c r="C114" s="57">
        <f>VLOOKUP($A114,Questions!$A$3:$X$333,19,0)&amp;""</f>
      </c>
      <c r="D114" s="57">
        <f>VLOOKUP($A114,Questions!$A$3:$X$333,20,0)&amp;""</f>
      </c>
      <c r="E114" s="238" t="s">
        <v>1453</v>
      </c>
    </row>
    <row r="115" spans="1:5" ht="45" x14ac:dyDescent="0.2">
      <c r="A115" s="57" t="s">
        <v>379</v>
      </c>
      <c r="B115" s="57">
        <f>VLOOKUP($A115,Questions!$A$3:$X$333,2,0)&amp;""</f>
      </c>
      <c r="C115" s="57">
        <f>VLOOKUP($A115,Questions!$A$3:$X$333,19,0)&amp;""</f>
      </c>
      <c r="D115" s="57">
        <f>VLOOKUP($A115,Questions!$A$3:$X$333,20,0)&amp;""</f>
      </c>
    </row>
    <row r="116" spans="1:5" ht="143.25" customHeight="1" x14ac:dyDescent="0.2">
      <c r="A116" s="57" t="s">
        <v>385</v>
      </c>
      <c r="B116" s="57">
        <f>VLOOKUP($A116,Questions!$A$3:$X$333,2,0)&amp;""</f>
      </c>
      <c r="C116" s="57">
        <f>VLOOKUP($A116,Questions!$A$3:$X$333,19,0)&amp;""</f>
      </c>
      <c r="D116" s="57">
        <f>VLOOKUP($A116,Questions!$A$3:$X$333,20,0)&amp;""</f>
      </c>
    </row>
    <row r="117" spans="1:5" ht="91.5" customHeight="1" x14ac:dyDescent="0.2">
      <c r="A117" s="57" t="s">
        <v>387</v>
      </c>
      <c r="B117" s="57">
        <f>VLOOKUP($A117,Questions!$A$3:$X$333,2,0)&amp;""</f>
      </c>
      <c r="C117" s="57">
        <f>VLOOKUP($A117,Questions!$A$3:$X$333,19,0)&amp;""</f>
      </c>
      <c r="D117" s="57">
        <f>VLOOKUP($A117,Questions!$A$3:$X$333,20,0)&amp;""</f>
      </c>
    </row>
    <row r="118" spans="1:5" ht="73.5" customHeight="1" x14ac:dyDescent="0.2">
      <c r="A118" s="57" t="s">
        <v>392</v>
      </c>
      <c r="B118" s="57">
        <f>VLOOKUP($A118,Questions!$A$3:$X$333,2,0)&amp;""</f>
      </c>
      <c r="C118" s="57">
        <f>VLOOKUP($A118,Questions!$A$3:$X$333,19,0)&amp;""</f>
      </c>
      <c r="D118" s="57">
        <f>VLOOKUP($A118,Questions!$A$3:$X$333,20,0)&amp;""</f>
      </c>
      <c r="E118" s="51"/>
    </row>
    <row r="119" spans="1:5" ht="64.5" customHeight="1" x14ac:dyDescent="0.2">
      <c r="A119" s="57" t="s">
        <v>395</v>
      </c>
      <c r="B119" s="57">
        <f>VLOOKUP($A119,Questions!$A$3:$X$333,2,0)&amp;""</f>
      </c>
      <c r="C119" s="57">
        <f>VLOOKUP($A119,Questions!$A$3:$X$333,19,0)&amp;""</f>
      </c>
      <c r="D119" s="57">
        <f>VLOOKUP($A119,Questions!$A$3:$X$333,20,0)&amp;""</f>
      </c>
      <c r="E119" s="58"/>
    </row>
    <row r="120" spans="1:5" ht="66.75" customHeight="1" x14ac:dyDescent="0.2">
      <c r="A120" s="57" t="s">
        <v>398</v>
      </c>
      <c r="B120" s="57">
        <f>VLOOKUP($A120,Questions!$A$3:$X$333,2,0)&amp;""</f>
      </c>
      <c r="C120" s="57">
        <f>VLOOKUP($A120,Questions!$A$3:$X$333,19,0)&amp;""</f>
      </c>
      <c r="D120" s="57">
        <f>VLOOKUP($A120,Questions!$A$3:$X$333,20,0)&amp;""</f>
      </c>
      <c r="E120" s="60"/>
    </row>
    <row r="121" spans="1:5" ht="81.75" customHeight="1" x14ac:dyDescent="0.2">
      <c r="A121" s="57" t="s">
        <v>402</v>
      </c>
      <c r="B121" s="57">
        <f>VLOOKUP($A121,Questions!$A$3:$X$333,2,0)&amp;""</f>
      </c>
      <c r="C121" s="57">
        <f>VLOOKUP($A121,Questions!$A$3:$X$333,19,0)&amp;""</f>
      </c>
      <c r="D121" s="57">
        <f>VLOOKUP($A121,Questions!$A$3:$X$333,20,0)&amp;""</f>
      </c>
    </row>
    <row r="122" spans="1:5" ht="19" x14ac:dyDescent="0.2">
      <c r="A122" s="63">
        <f>VLOOKUP(LEFT($A123,4),'Auto Responses'!$N$4:$O$38,2,0)&amp;""</f>
        <v xml:space="preserve"> Application/Service Security</v>
      </c>
      <c r="B122" s="63"/>
      <c r="C122" s="56" t="str">
        <f>Questions!$S$2</f>
      </c>
      <c r="D122" s="56">
        <f>Questions!$T$2</f>
      </c>
    </row>
    <row r="123" spans="1:5" ht="80.25" customHeight="1" x14ac:dyDescent="0.2">
      <c r="A123" s="64" t="s">
        <v>161</v>
      </c>
      <c r="B123" s="57">
        <f>VLOOKUP($A123,Questions!$A$3:$X$333,2,0)&amp;""</f>
      </c>
      <c r="C123" s="57">
        <f>VLOOKUP($A123,Questions!$A$3:$X$333,19,0)&amp;""</f>
      </c>
      <c r="D123" s="57">
        <f>VLOOKUP($A123,Questions!$A$3:$X$333,20,0)&amp;""</f>
      </c>
    </row>
    <row r="124" spans="1:5" ht="84" customHeight="1" x14ac:dyDescent="0.2">
      <c r="A124" s="57" t="s">
        <v>166</v>
      </c>
      <c r="B124" s="57">
        <f>VLOOKUP($A124,Questions!$A$3:$X$333,2,0)&amp;""</f>
      </c>
      <c r="C124" s="57">
        <f>VLOOKUP($A124,Questions!$A$3:$X$333,19,0)&amp;""</f>
      </c>
      <c r="D124" s="57">
        <f>VLOOKUP($A124,Questions!$A$3:$X$333,20,0)&amp;""</f>
      </c>
    </row>
    <row r="125" spans="1:5" ht="71.25" customHeight="1" x14ac:dyDescent="0.2">
      <c r="A125" s="57" t="s">
        <v>170</v>
      </c>
      <c r="B125" s="57">
        <f>VLOOKUP($A125,Questions!$A$3:$X$333,2,0)&amp;""</f>
      </c>
      <c r="C125" s="57">
        <f>VLOOKUP($A125,Questions!$A$3:$X$333,19,0)&amp;""</f>
      </c>
      <c r="D125" s="57">
        <f>VLOOKUP($A125,Questions!$A$3:$X$333,20,0)&amp;""</f>
      </c>
    </row>
    <row r="126" spans="1:5" ht="46.5" customHeight="1" x14ac:dyDescent="0.2">
      <c r="A126" s="57" t="s">
        <v>175</v>
      </c>
      <c r="B126" s="57">
        <f>VLOOKUP($A126,Questions!$A$3:$X$333,2,0)&amp;""</f>
      </c>
      <c r="C126" s="57">
        <f>VLOOKUP($A126,Questions!$A$3:$X$333,19,0)&amp;""</f>
      </c>
      <c r="D126" s="57">
        <f>VLOOKUP($A126,Questions!$A$3:$X$333,20,0)&amp;""</f>
      </c>
    </row>
    <row r="127" spans="1:5" ht="74.25" customHeight="1" x14ac:dyDescent="0.2">
      <c r="A127" s="57" t="s">
        <v>178</v>
      </c>
      <c r="B127" s="57">
        <f>VLOOKUP($A127,Questions!$A$3:$X$333,2,0)&amp;""</f>
      </c>
      <c r="C127" s="57">
        <f>VLOOKUP($A127,Questions!$A$3:$X$333,19,0)&amp;""</f>
      </c>
      <c r="D127" s="57">
        <f>VLOOKUP($A127,Questions!$A$3:$X$333,20,0)&amp;""</f>
      </c>
    </row>
    <row r="128" spans="1:5" ht="79.5" customHeight="1" x14ac:dyDescent="0.2">
      <c r="A128" s="57" t="s">
        <v>182</v>
      </c>
      <c r="B128" s="57">
        <f>VLOOKUP($A128,Questions!$A$3:$X$333,2,0)&amp;""</f>
      </c>
      <c r="C128" s="57">
        <f>VLOOKUP($A128,Questions!$A$3:$X$333,19,0)&amp;""</f>
      </c>
      <c r="D128" s="57">
        <f>VLOOKUP($A128,Questions!$A$3:$X$333,20,0)&amp;""</f>
      </c>
    </row>
    <row r="129" spans="1:5" ht="56.25" customHeight="1" x14ac:dyDescent="0.2">
      <c r="A129" s="57" t="s">
        <v>186</v>
      </c>
      <c r="B129" s="57">
        <f>VLOOKUP($A129,Questions!$A$3:$X$333,2,0)&amp;""</f>
      </c>
      <c r="C129" s="57">
        <f>VLOOKUP($A129,Questions!$A$3:$X$333,19,0)&amp;""</f>
      </c>
      <c r="D129" s="57">
        <f>VLOOKUP($A129,Questions!$A$3:$X$333,20,0)&amp;""</f>
      </c>
    </row>
    <row r="130" spans="1:5" ht="63.75" customHeight="1" x14ac:dyDescent="0.2">
      <c r="A130" s="57" t="s">
        <v>191</v>
      </c>
      <c r="B130" s="57">
        <f>VLOOKUP($A130,Questions!$A$3:$X$333,2,0)&amp;""</f>
      </c>
      <c r="C130" s="57">
        <f>VLOOKUP($A130,Questions!$A$3:$X$333,19,0)&amp;""</f>
      </c>
      <c r="D130" s="57">
        <f>VLOOKUP($A130,Questions!$A$3:$X$333,20,0)&amp;""</f>
      </c>
    </row>
    <row r="131" spans="1:5" ht="74.25" customHeight="1" x14ac:dyDescent="0.2">
      <c r="A131" s="57" t="s">
        <v>195</v>
      </c>
      <c r="B131" s="57">
        <f>VLOOKUP($A131,Questions!$A$3:$X$333,2,0)&amp;""</f>
      </c>
      <c r="C131" s="57">
        <f>VLOOKUP($A131,Questions!$A$3:$X$333,19,0)&amp;""</f>
      </c>
      <c r="D131" s="57">
        <f>VLOOKUP($A131,Questions!$A$3:$X$333,20,0)&amp;""</f>
      </c>
    </row>
    <row r="132" spans="1:5" ht="90" customHeight="1" x14ac:dyDescent="0.2">
      <c r="A132" s="57" t="s">
        <v>198</v>
      </c>
      <c r="B132" s="57">
        <f>VLOOKUP($A132,Questions!$A$3:$X$333,2,0)&amp;""</f>
      </c>
      <c r="C132" s="57">
        <f>VLOOKUP($A132,Questions!$A$3:$X$333,19,0)&amp;""</f>
      </c>
      <c r="D132" s="57">
        <f>VLOOKUP($A132,Questions!$A$3:$X$333,20,0)&amp;""</f>
      </c>
    </row>
    <row r="133" spans="1:5" ht="75.75" customHeight="1" x14ac:dyDescent="0.2">
      <c r="A133" s="57" t="s">
        <v>202</v>
      </c>
      <c r="B133" s="57">
        <f>VLOOKUP($A133,Questions!$A$3:$X$333,2,0)&amp;""</f>
      </c>
      <c r="C133" s="57">
        <f>VLOOKUP($A133,Questions!$A$3:$X$333,19,0)&amp;""</f>
      </c>
      <c r="D133" s="57">
        <f>VLOOKUP($A133,Questions!$A$3:$X$333,20,0)&amp;""</f>
      </c>
    </row>
    <row r="134" spans="1:5" ht="76.5" customHeight="1" x14ac:dyDescent="0.2">
      <c r="A134" s="57" t="s">
        <v>206</v>
      </c>
      <c r="B134" s="57">
        <f>VLOOKUP($A134,Questions!$A$3:$X$333,2,0)&amp;""</f>
      </c>
      <c r="C134" s="57">
        <f>VLOOKUP($A134,Questions!$A$3:$X$333,19,0)&amp;""</f>
      </c>
      <c r="D134" s="57">
        <f>VLOOKUP($A134,Questions!$A$3:$X$333,20,0)&amp;""</f>
      </c>
    </row>
    <row r="135" spans="1:5" ht="61.5" customHeight="1" x14ac:dyDescent="0.2">
      <c r="A135" s="57" t="s">
        <v>210</v>
      </c>
      <c r="B135" s="57">
        <f>VLOOKUP($A135,Questions!$A$3:$X$333,2,0)&amp;""</f>
      </c>
      <c r="C135" s="57">
        <f>VLOOKUP($A135,Questions!$A$3:$X$333,19,0)&amp;""</f>
      </c>
      <c r="D135" s="57">
        <f>VLOOKUP($A135,Questions!$A$3:$X$333,20,0)&amp;""</f>
      </c>
    </row>
    <row r="136" spans="1:5" ht="60.75" customHeight="1" x14ac:dyDescent="0.2">
      <c r="A136" s="57" t="s">
        <v>213</v>
      </c>
      <c r="B136" s="57">
        <f>VLOOKUP($A136,Questions!$A$3:$X$333,2,0)&amp;""</f>
      </c>
      <c r="C136" s="57">
        <f>VLOOKUP($A136,Questions!$A$3:$X$333,19,0)&amp;""</f>
      </c>
      <c r="D136" s="57">
        <f>VLOOKUP($A136,Questions!$A$3:$X$333,20,0)&amp;""</f>
      </c>
    </row>
    <row r="137" spans="1:5" ht="19" x14ac:dyDescent="0.2">
      <c r="A137" s="63">
        <f>VLOOKUP(LEFT($A138,4),'Auto Responses'!$N$4:$O$38,2,0)&amp;""</f>
        <v xml:space="preserve"> Datacenter</v>
      </c>
      <c r="B137" s="63"/>
      <c r="C137" s="56" t="str">
        <f>Questions!$S$2</f>
      </c>
      <c r="D137" s="56">
        <f>Questions!$T$2</f>
      </c>
    </row>
    <row r="138" spans="1:5" ht="57.75" customHeight="1" x14ac:dyDescent="0.15">
      <c r="A138" s="57" t="s">
        <v>407</v>
      </c>
      <c r="B138" s="57">
        <f>VLOOKUP($A138,Questions!$A$3:$X$333,2,0)&amp;""</f>
      </c>
      <c r="C138" s="57">
        <f>VLOOKUP($A138,Questions!$A$3:$X$333,19,0)&amp;""</f>
      </c>
      <c r="D138" s="57">
        <f>VLOOKUP($A138,Questions!$A$3:$X$333,20,0)&amp;""</f>
      </c>
      <c r="E138" s="238" t="s">
        <v>1453</v>
      </c>
    </row>
    <row r="139" spans="1:5" ht="129" customHeight="1" x14ac:dyDescent="0.2">
      <c r="A139" s="57" t="s">
        <v>412</v>
      </c>
      <c r="B139" s="57">
        <f>VLOOKUP($A139,Questions!$A$3:$X$333,2,0)&amp;""</f>
      </c>
      <c r="C139" s="57">
        <f>VLOOKUP($A139,Questions!$A$3:$X$333,19,0)&amp;""</f>
      </c>
      <c r="D139" s="57">
        <f>VLOOKUP($A139,Questions!$A$3:$X$333,20,0)&amp;""</f>
      </c>
    </row>
    <row r="140" spans="1:5" ht="90" customHeight="1" x14ac:dyDescent="0.2">
      <c r="A140" s="57" t="s">
        <v>414</v>
      </c>
      <c r="B140" s="57">
        <f>VLOOKUP($A140,Questions!$A$3:$X$333,2,0)&amp;""</f>
      </c>
      <c r="C140" s="57">
        <f>VLOOKUP($A140,Questions!$A$3:$X$333,19,0)&amp;""</f>
      </c>
      <c r="D140" s="57">
        <f>VLOOKUP($A140,Questions!$A$3:$X$333,20,0)&amp;""</f>
      </c>
    </row>
    <row r="141" spans="1:5" ht="75" customHeight="1" x14ac:dyDescent="0.2">
      <c r="A141" s="57" t="s">
        <v>417</v>
      </c>
      <c r="B141" s="57">
        <f>VLOOKUP($A141,Questions!$A$3:$X$333,2,0)&amp;""</f>
      </c>
      <c r="C141" s="57">
        <f>VLOOKUP($A141,Questions!$A$3:$X$333,19,0)&amp;""</f>
      </c>
      <c r="D141" s="57">
        <f>VLOOKUP($A141,Questions!$A$3:$X$333,20,0)&amp;""</f>
      </c>
    </row>
    <row r="142" spans="1:5" ht="75" customHeight="1" x14ac:dyDescent="0.2">
      <c r="A142" s="57" t="s">
        <v>422</v>
      </c>
      <c r="B142" s="57">
        <f>VLOOKUP($A142,Questions!$A$3:$X$333,2,0)&amp;""</f>
      </c>
      <c r="C142" s="57">
        <f>VLOOKUP($A142,Questions!$A$3:$X$333,19,0)&amp;""</f>
      </c>
      <c r="D142" s="57">
        <f>VLOOKUP($A142,Questions!$A$3:$X$333,20,0)&amp;""</f>
      </c>
      <c r="E142" s="51"/>
    </row>
    <row r="143" spans="1:5" ht="64.5" customHeight="1" x14ac:dyDescent="0.2">
      <c r="A143" s="57" t="s">
        <v>425</v>
      </c>
      <c r="B143" s="57">
        <f>VLOOKUP($A143,Questions!$A$3:$X$333,2,0)&amp;""</f>
      </c>
      <c r="C143" s="57">
        <f>VLOOKUP($A143,Questions!$A$3:$X$333,19,0)&amp;""</f>
      </c>
      <c r="D143" s="57">
        <f>VLOOKUP($A143,Questions!$A$3:$X$333,20,0)&amp;""</f>
      </c>
      <c r="E143" s="58"/>
    </row>
    <row r="144" spans="1:5" ht="72" customHeight="1" x14ac:dyDescent="0.2">
      <c r="A144" s="57" t="s">
        <v>427</v>
      </c>
      <c r="B144" s="57">
        <f>VLOOKUP($A144,Questions!$A$3:$X$333,2,0)&amp;""</f>
      </c>
      <c r="C144" s="57">
        <f>VLOOKUP($A144,Questions!$A$3:$X$333,19,0)&amp;""</f>
      </c>
      <c r="D144" s="57">
        <f>VLOOKUP($A144,Questions!$A$3:$X$333,20,0)&amp;""</f>
      </c>
    </row>
    <row r="145" spans="1:5" ht="54.75" customHeight="1" x14ac:dyDescent="0.2">
      <c r="A145" s="57" t="s">
        <v>432</v>
      </c>
      <c r="B145" s="57">
        <f>VLOOKUP($A145,Questions!$A$3:$X$333,2,0)&amp;""</f>
      </c>
      <c r="C145" s="57">
        <f>VLOOKUP($A145,Questions!$A$3:$X$333,19,0)&amp;""</f>
      </c>
      <c r="D145" s="57">
        <f>VLOOKUP($A145,Questions!$A$3:$X$333,20,0)&amp;""</f>
      </c>
    </row>
    <row r="146" spans="1:5" ht="48" customHeight="1" x14ac:dyDescent="0.2">
      <c r="A146" s="57" t="s">
        <v>433</v>
      </c>
      <c r="B146" s="57">
        <f>VLOOKUP($A146,Questions!$A$3:$X$333,2,0)&amp;""</f>
      </c>
      <c r="C146" s="57">
        <f>VLOOKUP($A146,Questions!$A$3:$X$333,19,0)&amp;""</f>
      </c>
      <c r="D146" s="57">
        <f>VLOOKUP($A146,Questions!$A$3:$X$333,20,0)&amp;""</f>
      </c>
    </row>
    <row r="147" spans="1:5" ht="59.25" customHeight="1" x14ac:dyDescent="0.2">
      <c r="A147" s="57" t="s">
        <v>434</v>
      </c>
      <c r="B147" s="57">
        <f>VLOOKUP($A147,Questions!$A$3:$X$333,2,0)&amp;""</f>
      </c>
      <c r="C147" s="57">
        <f>VLOOKUP($A147,Questions!$A$3:$X$333,19,0)&amp;""</f>
      </c>
      <c r="D147" s="57">
        <f>VLOOKUP($A147,Questions!$A$3:$X$333,20,0)&amp;""</f>
      </c>
    </row>
    <row r="148" spans="1:5" ht="48" customHeight="1" x14ac:dyDescent="0.2">
      <c r="A148" s="57" t="s">
        <v>439</v>
      </c>
      <c r="B148" s="57">
        <f>VLOOKUP($A148,Questions!$A$3:$X$333,2,0)&amp;""</f>
      </c>
      <c r="C148" s="57">
        <f>VLOOKUP($A148,Questions!$A$3:$X$333,19,0)&amp;""</f>
      </c>
      <c r="D148" s="57">
        <f>VLOOKUP($A148,Questions!$A$3:$X$333,20,0)&amp;""</f>
      </c>
    </row>
    <row r="149" spans="1:5" ht="45" customHeight="1" x14ac:dyDescent="0.2">
      <c r="A149" s="57" t="s">
        <v>442</v>
      </c>
      <c r="B149" s="57">
        <f>VLOOKUP($A149,Questions!$A$3:$X$333,2,0)&amp;""</f>
      </c>
      <c r="C149" s="57">
        <f>VLOOKUP($A149,Questions!$A$3:$X$333,19,0)&amp;""</f>
      </c>
      <c r="D149" s="57">
        <f>VLOOKUP($A149,Questions!$A$3:$X$333,20,0)&amp;""</f>
      </c>
      <c r="E149" s="60"/>
    </row>
    <row r="150" spans="1:5" ht="53.25" customHeight="1" x14ac:dyDescent="0.2">
      <c r="A150" s="57" t="s">
        <v>446</v>
      </c>
      <c r="B150" s="57">
        <f>VLOOKUP($A150,Questions!$A$3:$X$333,2,0)&amp;""</f>
      </c>
      <c r="C150" s="57">
        <f>VLOOKUP($A150,Questions!$A$3:$X$333,19,0)&amp;""</f>
      </c>
      <c r="D150" s="57">
        <f>VLOOKUP($A150,Questions!$A$3:$X$333,20,0)&amp;""</f>
      </c>
    </row>
    <row r="151" spans="1:5" ht="52.5" customHeight="1" x14ac:dyDescent="0.2">
      <c r="A151" s="57" t="s">
        <v>448</v>
      </c>
      <c r="B151" s="57">
        <f>VLOOKUP($A151,Questions!$A$3:$X$333,2,0)&amp;""</f>
      </c>
      <c r="C151" s="57">
        <f>VLOOKUP($A151,Questions!$A$3:$X$333,19,0)&amp;""</f>
      </c>
      <c r="D151" s="57">
        <f>VLOOKUP($A151,Questions!$A$3:$X$333,20,0)&amp;""</f>
      </c>
    </row>
    <row r="152" spans="1:5" ht="39" customHeight="1" x14ac:dyDescent="0.2">
      <c r="A152" s="57" t="s">
        <v>452</v>
      </c>
      <c r="B152" s="57">
        <f>VLOOKUP($A152,Questions!$A$3:$X$333,2,0)&amp;""</f>
      </c>
      <c r="C152" s="57">
        <f>VLOOKUP($A152,Questions!$A$3:$X$333,19,0)&amp;""</f>
      </c>
      <c r="D152" s="57">
        <f>VLOOKUP($A152,Questions!$A$3:$X$333,20,0)&amp;""</f>
      </c>
    </row>
    <row r="153" spans="1:5" ht="75.75" customHeight="1" x14ac:dyDescent="0.2">
      <c r="A153" s="57" t="s">
        <v>456</v>
      </c>
      <c r="B153" s="57">
        <f>VLOOKUP($A153,Questions!$A$3:$X$333,2,0)&amp;""</f>
      </c>
      <c r="C153" s="57">
        <f>VLOOKUP($A153,Questions!$A$3:$X$333,19,0)&amp;""</f>
      </c>
      <c r="D153" s="57">
        <f>VLOOKUP($A153,Questions!$A$3:$X$333,20,0)&amp;""</f>
      </c>
    </row>
    <row r="154" spans="1:5" ht="19" x14ac:dyDescent="0.2">
      <c r="A154" s="63">
        <f>VLOOKUP(LEFT($A155,4),'Auto Responses'!$N$4:$O$38,2,0)&amp;""</f>
        <v xml:space="preserve"> Firewalls, IDS, IPS, and Networking</v>
      </c>
      <c r="B154" s="63"/>
      <c r="C154" s="56" t="str">
        <f>Questions!$S$2</f>
      </c>
      <c r="D154" s="56">
        <f>Questions!$T$2</f>
      </c>
    </row>
    <row r="155" spans="1:5" ht="67.5" customHeight="1" x14ac:dyDescent="0.2">
      <c r="A155" s="57" t="s">
        <v>462</v>
      </c>
      <c r="B155" s="57">
        <f>VLOOKUP($A155,Questions!$A$3:$X$333,2,0)&amp;""</f>
      </c>
      <c r="C155" s="57">
        <f>VLOOKUP($A155,Questions!$A$3:$X$333,19,0)&amp;""</f>
      </c>
      <c r="D155" s="57">
        <f>VLOOKUP($A155,Questions!$A$3:$X$333,20,0)&amp;""</f>
      </c>
      <c r="E155" s="60"/>
    </row>
    <row r="156" spans="1:5" ht="60" customHeight="1" x14ac:dyDescent="0.2">
      <c r="A156" s="57" t="s">
        <v>465</v>
      </c>
      <c r="B156" s="57">
        <f>VLOOKUP($A156,Questions!$A$3:$X$333,2,0)&amp;""</f>
      </c>
      <c r="C156" s="57">
        <f>VLOOKUP($A156,Questions!$A$3:$X$333,19,0)&amp;""</f>
      </c>
      <c r="D156" s="57">
        <f>VLOOKUP($A156,Questions!$A$3:$X$333,20,0)&amp;""</f>
      </c>
    </row>
    <row r="157" spans="1:5" ht="59.25" customHeight="1" x14ac:dyDescent="0.2">
      <c r="A157" s="57" t="s">
        <v>470</v>
      </c>
      <c r="B157" s="57">
        <f>VLOOKUP($A157,Questions!$A$3:$X$333,2,0)&amp;""</f>
      </c>
      <c r="C157" s="57">
        <f>VLOOKUP($A157,Questions!$A$3:$X$333,19,0)&amp;""</f>
      </c>
      <c r="D157" s="57">
        <f>VLOOKUP($A157,Questions!$A$3:$X$333,20,0)&amp;""</f>
      </c>
    </row>
    <row r="158" spans="1:5" ht="63.75" customHeight="1" x14ac:dyDescent="0.2">
      <c r="A158" s="57" t="s">
        <v>475</v>
      </c>
      <c r="B158" s="57">
        <f>VLOOKUP($A158,Questions!$A$3:$X$333,2,0)&amp;""</f>
      </c>
      <c r="C158" s="57">
        <f>VLOOKUP($A158,Questions!$A$3:$X$333,19,0)&amp;""</f>
      </c>
      <c r="D158" s="57">
        <f>VLOOKUP($A158,Questions!$A$3:$X$333,20,0)&amp;""</f>
      </c>
      <c r="E158" s="51"/>
    </row>
    <row r="159" spans="1:5" ht="71.25" customHeight="1" x14ac:dyDescent="0.2">
      <c r="A159" s="57" t="s">
        <v>478</v>
      </c>
      <c r="B159" s="57">
        <f>VLOOKUP($A159,Questions!$A$3:$X$333,2,0)&amp;""</f>
      </c>
      <c r="C159" s="57">
        <f>VLOOKUP($A159,Questions!$A$3:$X$333,19,0)&amp;""</f>
      </c>
      <c r="D159" s="57">
        <f>VLOOKUP($A159,Questions!$A$3:$X$333,20,0)&amp;""</f>
      </c>
      <c r="E159" s="58"/>
    </row>
    <row r="160" spans="1:5" ht="72" customHeight="1" x14ac:dyDescent="0.2">
      <c r="A160" s="57" t="s">
        <v>480</v>
      </c>
      <c r="B160" s="57">
        <f>VLOOKUP($A160,Questions!$A$3:$X$333,2,0)&amp;""</f>
      </c>
      <c r="C160" s="57">
        <f>VLOOKUP($A160,Questions!$A$3:$X$333,19,0)&amp;""</f>
      </c>
      <c r="D160" s="57">
        <f>VLOOKUP($A160,Questions!$A$3:$X$333,20,0)&amp;""</f>
      </c>
    </row>
    <row r="161" spans="1:5" ht="67.5" customHeight="1" x14ac:dyDescent="0.2">
      <c r="A161" s="57" t="s">
        <v>482</v>
      </c>
      <c r="B161" s="57">
        <f>VLOOKUP($A161,Questions!$A$3:$X$333,2,0)&amp;""</f>
      </c>
      <c r="C161" s="57">
        <f>VLOOKUP($A161,Questions!$A$3:$X$333,19,0)&amp;""</f>
      </c>
      <c r="D161" s="57">
        <f>VLOOKUP($A161,Questions!$A$3:$X$333,20,0)&amp;""</f>
      </c>
    </row>
    <row r="162" spans="1:5" ht="60.75" customHeight="1" x14ac:dyDescent="0.2">
      <c r="A162" s="57" t="s">
        <v>485</v>
      </c>
      <c r="B162" s="57">
        <f>VLOOKUP($A162,Questions!$A$3:$X$333,2,0)&amp;""</f>
      </c>
      <c r="C162" s="57">
        <f>VLOOKUP($A162,Questions!$A$3:$X$333,19,0)&amp;""</f>
      </c>
      <c r="D162" s="57">
        <f>VLOOKUP($A162,Questions!$A$3:$X$333,20,0)&amp;""</f>
      </c>
    </row>
    <row r="163" spans="1:5" ht="72.75" customHeight="1" x14ac:dyDescent="0.2">
      <c r="A163" s="57" t="s">
        <v>490</v>
      </c>
      <c r="B163" s="57">
        <f>VLOOKUP($A163,Questions!$A$3:$X$333,2,0)&amp;""</f>
      </c>
      <c r="C163" s="57">
        <f>VLOOKUP($A163,Questions!$A$3:$X$333,19,0)&amp;""</f>
      </c>
      <c r="D163" s="57">
        <f>VLOOKUP($A163,Questions!$A$3:$X$333,20,0)&amp;""</f>
      </c>
    </row>
    <row r="164" spans="1:5" ht="72.75" customHeight="1" x14ac:dyDescent="0.2">
      <c r="A164" s="57" t="s">
        <v>495</v>
      </c>
      <c r="B164" s="57">
        <f>VLOOKUP($A164,Questions!$A$3:$X$333,2,0)&amp;""</f>
      </c>
      <c r="C164" s="57">
        <f>VLOOKUP($A164,Questions!$A$3:$X$333,19,0)&amp;""</f>
      </c>
      <c r="D164" s="57">
        <f>VLOOKUP($A164,Questions!$A$3:$X$333,20,0)&amp;""</f>
      </c>
    </row>
    <row r="165" spans="1:5" ht="66.75" customHeight="1" x14ac:dyDescent="0.2">
      <c r="A165" s="57" t="s">
        <v>499</v>
      </c>
      <c r="B165" s="57">
        <f>VLOOKUP($A165,Questions!$A$3:$X$333,2,0)&amp;""</f>
      </c>
      <c r="C165" s="57">
        <f>VLOOKUP($A165,Questions!$A$3:$X$333,19,0)&amp;""</f>
      </c>
      <c r="D165" s="57">
        <f>VLOOKUP($A165,Questions!$A$3:$X$333,20,0)&amp;""</f>
      </c>
    </row>
    <row r="166" spans="1:5" ht="19" x14ac:dyDescent="0.2">
      <c r="A166" s="63">
        <f>VLOOKUP(LEFT($A167,4),'Auto Responses'!$N$4:$O$38,2,0)&amp;""</f>
        <v xml:space="preserve"> Incident Handling</v>
      </c>
      <c r="B166" s="63"/>
      <c r="C166" s="56" t="str">
        <f>Questions!$S$2</f>
      </c>
      <c r="D166" s="56">
        <f>Questions!$T$2</f>
      </c>
    </row>
    <row r="167" spans="1:5" ht="100.5" customHeight="1" x14ac:dyDescent="0.15">
      <c r="A167" s="57" t="s">
        <v>558</v>
      </c>
      <c r="B167" s="57">
        <f>VLOOKUP($A167,Questions!$A$3:$X$333,2,0)&amp;""</f>
      </c>
      <c r="C167" s="57">
        <f>VLOOKUP($A167,Questions!$A$3:$X$333,19,0)&amp;""</f>
      </c>
      <c r="D167" s="57">
        <f>VLOOKUP($A167,Questions!$A$3:$X$333,20,0)&amp;""</f>
      </c>
      <c r="E167" s="238" t="s">
        <v>1453</v>
      </c>
    </row>
    <row r="168" spans="1:5" ht="60.75" customHeight="1" x14ac:dyDescent="0.2">
      <c r="A168" s="57" t="s">
        <v>562</v>
      </c>
      <c r="B168" s="57">
        <f>VLOOKUP($A168,Questions!$A$3:$X$333,2,0)&amp;""</f>
      </c>
      <c r="C168" s="57">
        <f>VLOOKUP($A168,Questions!$A$3:$X$333,19,0)&amp;""</f>
      </c>
      <c r="D168" s="57">
        <f>VLOOKUP($A168,Questions!$A$3:$X$333,20,0)&amp;""</f>
      </c>
    </row>
    <row r="169" spans="1:5" ht="69" customHeight="1" x14ac:dyDescent="0.2">
      <c r="A169" s="57" t="s">
        <v>566</v>
      </c>
      <c r="B169" s="57">
        <f>VLOOKUP($A169,Questions!$A$3:$X$333,2,0)&amp;""</f>
      </c>
      <c r="C169" s="57">
        <f>VLOOKUP($A169,Questions!$A$3:$X$333,19,0)&amp;""</f>
      </c>
      <c r="D169" s="57">
        <f>VLOOKUP($A169,Questions!$A$3:$X$333,20,0)&amp;""</f>
      </c>
    </row>
    <row r="170" spans="1:5" ht="78" customHeight="1" x14ac:dyDescent="0.2">
      <c r="A170" s="57" t="s">
        <v>570</v>
      </c>
      <c r="B170" s="57">
        <f>VLOOKUP($A170,Questions!$A$3:$X$333,2,0)&amp;""</f>
      </c>
      <c r="C170" s="57">
        <f>VLOOKUP($A170,Questions!$A$3:$X$333,19,0)&amp;""</f>
      </c>
      <c r="D170" s="57">
        <f>VLOOKUP($A170,Questions!$A$3:$X$333,20,0)&amp;""</f>
      </c>
      <c r="E170" s="51"/>
    </row>
    <row r="171" spans="1:5" ht="19" x14ac:dyDescent="0.2">
      <c r="A171" s="63" t="str">
        <f>VLOOKUP(LEFT($A172,4),'Auto Responses'!$N$4:$O$38,2,0)&amp;""</f>
        <v xml:space="preserve"> Vulnerability Management</v>
      </c>
      <c r="B171" s="63"/>
      <c r="C171" s="56" t="str">
        <f>Questions!$S$2</f>
      </c>
      <c r="D171" s="56">
        <f>Questions!$T$2</f>
      </c>
      <c r="E171" s="58"/>
    </row>
    <row r="172" spans="1:5" ht="65.25" customHeight="1" x14ac:dyDescent="0.2">
      <c r="A172" s="57" t="s">
        <v>572</v>
      </c>
      <c r="B172" s="57">
        <f>VLOOKUP($A172,Questions!$A$3:$X$333,2,0)&amp;""</f>
      </c>
      <c r="C172" s="57">
        <f>VLOOKUP($A172,Questions!$A$3:$X$333,19,0)&amp;""</f>
      </c>
      <c r="D172" s="57">
        <f>VLOOKUP($A172,Questions!$A$3:$X$333,20,0)&amp;""</f>
      </c>
    </row>
    <row r="173" spans="1:5" ht="58.5" customHeight="1" x14ac:dyDescent="0.2">
      <c r="A173" s="57" t="s">
        <v>575</v>
      </c>
      <c r="B173" s="57">
        <f>VLOOKUP($A173,Questions!$A$3:$X$333,2,0)&amp;""</f>
      </c>
      <c r="C173" s="57">
        <f>VLOOKUP($A173,Questions!$A$3:$X$333,19,0)&amp;""</f>
      </c>
      <c r="D173" s="57">
        <f>VLOOKUP($A173,Questions!$A$3:$X$333,20,0)&amp;""</f>
      </c>
    </row>
    <row r="174" spans="1:5" ht="65.25" customHeight="1" x14ac:dyDescent="0.2">
      <c r="A174" s="57" t="s">
        <v>579</v>
      </c>
      <c r="B174" s="57">
        <f>VLOOKUP($A174,Questions!$A$3:$X$333,2,0)&amp;""</f>
      </c>
      <c r="C174" s="57">
        <f>VLOOKUP($A174,Questions!$A$3:$X$333,19,0)&amp;""</f>
      </c>
      <c r="D174" s="57">
        <f>VLOOKUP($A174,Questions!$A$3:$X$333,20,0)&amp;""</f>
      </c>
    </row>
    <row r="175" spans="1:5" ht="85.5" customHeight="1" x14ac:dyDescent="0.2">
      <c r="A175" s="57" t="s">
        <v>582</v>
      </c>
      <c r="B175" s="57">
        <f>VLOOKUP($A175,Questions!$A$3:$X$333,2,0)&amp;""</f>
      </c>
      <c r="C175" s="57">
        <f>VLOOKUP($A175,Questions!$A$3:$X$333,19,0)&amp;""</f>
      </c>
      <c r="D175" s="57">
        <f>VLOOKUP($A175,Questions!$A$3:$X$333,20,0)&amp;""</f>
      </c>
    </row>
    <row r="176" spans="1:5" ht="75" x14ac:dyDescent="0.2">
      <c r="A176" s="57" t="s">
        <v>585</v>
      </c>
      <c r="B176" s="57">
        <f>VLOOKUP($A176,Questions!$A$3:$X$333,2,0)&amp;""</f>
      </c>
      <c r="C176" s="57">
        <f>VLOOKUP($A176,Questions!$A$3:$X$333,19,0)&amp;""</f>
      </c>
      <c r="D176" s="57">
        <f>VLOOKUP($A176,Questions!$A$3:$X$333,20,0)&amp;""</f>
      </c>
    </row>
    <row r="177" spans="1:5" ht="91.5" customHeight="1" x14ac:dyDescent="0.2">
      <c r="A177" s="57" t="s">
        <v>587</v>
      </c>
      <c r="B177" s="57">
        <f>VLOOKUP($A177,Questions!$A$3:$X$333,2,0)&amp;""</f>
      </c>
      <c r="C177" s="57">
        <f>VLOOKUP($A177,Questions!$A$3:$X$333,19,0)&amp;""</f>
      </c>
      <c r="D177" s="57">
        <f>VLOOKUP($A177,Questions!$A$3:$X$333,20,0)&amp;""</f>
      </c>
    </row>
    <row r="178" spans="1:5" ht="19" x14ac:dyDescent="0.2">
      <c r="A178" s="63">
        <f>VLOOKUP(LEFT($A179,4),'Auto Responses'!$N$4:$O$38,2,0)&amp;""</f>
        <v xml:space="preserve"> IT Accessibility</v>
      </c>
      <c r="B178" s="63"/>
      <c r="C178" s="56" t="str">
        <f>Questions!$S$2</f>
      </c>
      <c r="D178" s="56">
        <f>Questions!$T$2</f>
      </c>
    </row>
    <row r="179" spans="1:5" x14ac:dyDescent="0.2">
      <c r="A179" s="57" t="s">
        <v>93</v>
      </c>
      <c r="B179" s="57">
        <f>VLOOKUP($A179,Questions!$A$3:$X$333,2,0)&amp;""</f>
      </c>
      <c r="C179" s="57">
        <f>VLOOKUP($A179,Questions!$A$3:$X$333,19,0)&amp;""</f>
      </c>
      <c r="D179" s="57">
        <f>VLOOKUP($A179,Questions!$A$3:$X$333,20,0)&amp;""</f>
      </c>
      <c r="E179" s="60"/>
    </row>
    <row r="180" spans="1:5" x14ac:dyDescent="0.2">
      <c r="A180" s="57" t="s">
        <v>94</v>
      </c>
      <c r="B180" s="57">
        <f>VLOOKUP($A180,Questions!$A$3:$X$333,2,0)&amp;""</f>
      </c>
      <c r="C180" s="57">
        <f>VLOOKUP($A180,Questions!$A$3:$X$333,19,0)&amp;""</f>
      </c>
      <c r="D180" s="57">
        <f>VLOOKUP($A180,Questions!$A$3:$X$333,20,0)&amp;""</f>
      </c>
    </row>
    <row r="181" spans="1:5" x14ac:dyDescent="0.2">
      <c r="A181" s="57" t="s">
        <v>95</v>
      </c>
      <c r="B181" s="57">
        <f>VLOOKUP($A181,Questions!$A$3:$X$333,2,0)&amp;""</f>
      </c>
      <c r="C181" s="57">
        <f>VLOOKUP($A181,Questions!$A$3:$X$333,19,0)&amp;""</f>
      </c>
      <c r="D181" s="57">
        <f>VLOOKUP($A181,Questions!$A$3:$X$333,20,0)&amp;""</f>
      </c>
    </row>
    <row r="182" spans="1:5" x14ac:dyDescent="0.2">
      <c r="A182" s="57" t="s">
        <v>96</v>
      </c>
      <c r="B182" s="57">
        <f>VLOOKUP($A182,Questions!$A$3:$X$333,2,0)&amp;""</f>
      </c>
      <c r="C182" s="57">
        <f>VLOOKUP($A182,Questions!$A$3:$X$333,19,0)&amp;""</f>
      </c>
      <c r="D182" s="57">
        <f>VLOOKUP($A182,Questions!$A$3:$X$333,20,0)&amp;""</f>
      </c>
      <c r="E182" s="51"/>
    </row>
    <row r="183" spans="1:5" x14ac:dyDescent="0.15">
      <c r="A183" s="57" t="s">
        <v>97</v>
      </c>
      <c r="B183" s="57">
        <f>VLOOKUP($A183,Questions!$A$3:$X$333,2,0)&amp;""</f>
      </c>
      <c r="C183" s="57">
        <f>VLOOKUP($A183,Questions!$A$3:$X$333,19,0)&amp;""</f>
      </c>
      <c r="D183" s="57">
        <f>VLOOKUP($A183,Questions!$A$3:$X$333,20,0)&amp;""</f>
      </c>
      <c r="E183" s="238" t="s">
        <v>1453</v>
      </c>
    </row>
    <row r="184" spans="1:5" ht="90" x14ac:dyDescent="0.2">
      <c r="A184" s="57" t="s">
        <v>101</v>
      </c>
      <c r="B184" s="57">
        <f>VLOOKUP($A184,Questions!$A$3:$X$333,2,0)&amp;""</f>
      </c>
      <c r="C184" s="57">
        <f>VLOOKUP($A184,Questions!$A$3:$X$333,19,0)&amp;""</f>
      </c>
      <c r="D184" s="57">
        <f>VLOOKUP($A184,Questions!$A$3:$X$333,20,0)&amp;""</f>
      </c>
    </row>
    <row r="185" spans="1:5" ht="74.25" customHeight="1" x14ac:dyDescent="0.2">
      <c r="A185" s="57" t="s">
        <v>103</v>
      </c>
      <c r="B185" s="57">
        <f>VLOOKUP($A185,Questions!$A$3:$X$333,2,0)&amp;""</f>
      </c>
      <c r="C185" s="57">
        <f>VLOOKUP($A185,Questions!$A$3:$X$333,19,0)&amp;""</f>
        <v xml:space="preserve">Federal regulation requires that technology products conform to WCAG 2.1 AA. Technology platforms that do not substantially conform to this standard put schools at risk of not complying with these requirements. </v>
      </c>
      <c r="D185" s="57">
        <f>VLOOKUP($A185,Questions!$A$3:$X$333,20,0)&amp;""</f>
      </c>
    </row>
    <row r="186" spans="1:5" ht="57.75" customHeight="1" x14ac:dyDescent="0.2">
      <c r="A186" s="57" t="s">
        <v>106</v>
      </c>
      <c r="B186" s="57">
        <f>VLOOKUP($A186,Questions!$A$3:$X$333,2,0)&amp;""</f>
      </c>
      <c r="C186" s="57">
        <f>VLOOKUP($A186,Questions!$A$3:$X$333,19,0)&amp;""</f>
        <v xml:space="preserve">Federal regulation requires that technology products conform to WCAG 2.1 AA. Technology platforms that do not substantially conform to this standard put schools at risk of not complying with these requirements. </v>
      </c>
      <c r="D186" s="57">
        <f>VLOOKUP($A186,Questions!$A$3:$X$333,20,0)&amp;""</f>
      </c>
    </row>
    <row r="187" spans="1:5" ht="74.25" customHeight="1" x14ac:dyDescent="0.2">
      <c r="A187" s="57" t="s">
        <v>108</v>
      </c>
      <c r="B187" s="57">
        <f>VLOOKUP($A187,Questions!$A$3:$X$333,2,0)&amp;""</f>
      </c>
      <c r="C187" s="57">
        <f>VLOOKUP($A187,Questions!$A$3:$X$333,19,0)&amp;""</f>
      </c>
      <c r="D187" s="57">
        <f>VLOOKUP($A187,Questions!$A$3:$X$333,20,0)&amp;""</f>
      </c>
    </row>
    <row r="188" spans="1:5" ht="81" customHeight="1" x14ac:dyDescent="0.15">
      <c r="A188" s="57" t="s">
        <v>111</v>
      </c>
      <c r="B188" s="57">
        <f>VLOOKUP($A188,Questions!$A$3:$X$333,2,0)&amp;""</f>
      </c>
      <c r="C188" s="57">
        <f>VLOOKUP($A188,Questions!$A$3:$X$333,19,0)&amp;""</f>
      </c>
      <c r="D188" s="57">
        <f>VLOOKUP($A188,Questions!$A$3:$X$333,20,0)&amp;""</f>
      </c>
      <c r="E188" s="238" t="s">
        <v>1453</v>
      </c>
    </row>
    <row r="189" spans="1:5" ht="60" x14ac:dyDescent="0.2">
      <c r="A189" s="57" t="s">
        <v>112</v>
      </c>
      <c r="B189" s="57">
        <f>VLOOKUP($A189,Questions!$A$3:$X$333,2,0)&amp;""</f>
      </c>
      <c r="C189" s="57">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57">
        <f>VLOOKUP($A189,Questions!$A$3:$X$333,20,0)&amp;""</f>
      </c>
    </row>
    <row r="190" spans="1:5" ht="90" x14ac:dyDescent="0.2">
      <c r="A190" s="57" t="s">
        <v>113</v>
      </c>
      <c r="B190" s="57">
        <f>VLOOKUP($A190,Questions!$A$3:$X$333,2,0)&amp;""</f>
      </c>
      <c r="C190" s="57">
        <f>VLOOKUP($A190,Questions!$A$3:$X$333,19,0)&amp;""</f>
      </c>
      <c r="D190" s="57">
        <f>VLOOKUP($A190,Questions!$A$3:$X$333,20,0)&amp;""</f>
      </c>
    </row>
    <row r="191" spans="1:5" ht="62.25" customHeight="1" x14ac:dyDescent="0.2">
      <c r="A191" s="57" t="s">
        <v>114</v>
      </c>
      <c r="B191" s="57">
        <f>VLOOKUP($A191,Questions!$A$3:$X$333,2,0)&amp;""</f>
      </c>
      <c r="C191" s="57">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57">
        <f>VLOOKUP($A191,Questions!$A$3:$X$333,20,0)&amp;""</f>
      </c>
    </row>
    <row r="192" spans="1:5" ht="66" customHeight="1" x14ac:dyDescent="0.2">
      <c r="A192" s="57" t="s">
        <v>116</v>
      </c>
      <c r="B192" s="57">
        <f>VLOOKUP($A192,Questions!$A$3:$X$333,2,0)&amp;""</f>
      </c>
      <c r="C192" s="57">
        <f>VLOOKUP($A192,Questions!$A$3:$X$333,19,0)&amp;""</f>
      </c>
      <c r="D192" s="57">
        <f>VLOOKUP($A192,Questions!$A$3:$X$333,20,0)&amp;""</f>
      </c>
    </row>
    <row r="193" spans="1:5" ht="98.25" customHeight="1" x14ac:dyDescent="0.2">
      <c r="A193" s="57" t="s">
        <v>120</v>
      </c>
      <c r="B193" s="57">
        <f>VLOOKUP($A193,Questions!$A$3:$X$333,2,0)&amp;""</f>
      </c>
      <c r="C193" s="57">
        <f>VLOOKUP($A193,Questions!$A$3:$X$333,19,0)&amp;""</f>
      </c>
      <c r="D193" s="57">
        <f>VLOOKUP($A193,Questions!$A$3:$X$333,20,0)&amp;""</f>
      </c>
    </row>
    <row r="194" spans="1:5" ht="81" customHeight="1" x14ac:dyDescent="0.2">
      <c r="A194" s="57" t="s">
        <v>123</v>
      </c>
      <c r="B194" s="57">
        <f>VLOOKUP($A194,Questions!$A$3:$X$333,2,0)&amp;""</f>
      </c>
      <c r="C194" s="57">
        <f>VLOOKUP($A194,Questions!$A$3:$X$333,19,0)&amp;""</f>
      </c>
      <c r="D194" s="57">
        <f>VLOOKUP($A194,Questions!$A$3:$X$333,20,0)&amp;""</f>
      </c>
    </row>
    <row r="195" spans="1:5" ht="89.25" customHeight="1" x14ac:dyDescent="0.15">
      <c r="A195" s="57" t="s">
        <v>126</v>
      </c>
      <c r="B195" s="57">
        <f>VLOOKUP($A195,Questions!$A$3:$X$333,2,0)&amp;""</f>
      </c>
      <c r="C195" s="57">
        <f>VLOOKUP($A195,Questions!$A$3:$X$333,19,0)&amp;""</f>
      </c>
      <c r="D195" s="57">
        <f>VLOOKUP($A195,Questions!$A$3:$X$333,20,0)&amp;""</f>
      </c>
      <c r="E195" s="238" t="s">
        <v>1453</v>
      </c>
    </row>
    <row r="196" spans="1:5" ht="75" x14ac:dyDescent="0.2">
      <c r="A196" s="57" t="s">
        <v>129</v>
      </c>
      <c r="B196" s="57">
        <f>VLOOKUP($A196,Questions!$A$3:$X$333,2,0)&amp;""</f>
      </c>
      <c r="C196" s="57">
        <f>VLOOKUP($A196,Questions!$A$3:$X$333,19,0)&amp;""</f>
      </c>
      <c r="D196" s="57">
        <f>VLOOKUP($A196,Questions!$A$3:$X$333,20,0)&amp;""</f>
      </c>
    </row>
    <row r="197" spans="1:5" ht="19" x14ac:dyDescent="0.2">
      <c r="A197" s="63">
        <f>VLOOKUP(LEFT($A198,4),'Auto Responses'!$N$4:$O$38,2,0)&amp;""</f>
        <v xml:space="preserve"> Consulting Services</v>
      </c>
      <c r="B197" s="63"/>
      <c r="C197" s="56" t="str">
        <f>Questions!$S$2</f>
      </c>
      <c r="D197" s="56">
        <f>Questions!$T$2</f>
      </c>
      <c r="E197" s="60"/>
    </row>
    <row r="198" spans="1:5" ht="45" x14ac:dyDescent="0.2">
      <c r="A198" s="57" t="s">
        <v>145</v>
      </c>
      <c r="B198" s="57">
        <f>VLOOKUP($A198,Questions!$A$3:$X$333,2,0)&amp;""</f>
      </c>
      <c r="C198" s="57">
        <f>VLOOKUP($A198,Questions!$A$3:$X$333,19,0)&amp;""</f>
      </c>
      <c r="D198" s="57">
        <f>VLOOKUP($A198,Questions!$A$3:$X$333,20,0)&amp;""</f>
      </c>
      <c r="E198" s="60"/>
    </row>
    <row r="199" spans="1:5" ht="45" x14ac:dyDescent="0.2">
      <c r="A199" s="57" t="s">
        <v>149</v>
      </c>
      <c r="B199" s="57">
        <f>VLOOKUP($A199,Questions!$A$3:$X$333,2,0)&amp;""</f>
      </c>
      <c r="C199" s="57">
        <f>VLOOKUP($A199,Questions!$A$3:$X$333,19,0)&amp;""</f>
      </c>
      <c r="D199" s="57">
        <f>VLOOKUP($A199,Questions!$A$3:$X$333,20,0)&amp;""</f>
      </c>
      <c r="E199" s="58"/>
    </row>
    <row r="200" spans="1:5" ht="45" x14ac:dyDescent="0.2">
      <c r="A200" s="57" t="s">
        <v>150</v>
      </c>
      <c r="B200" s="57">
        <f>VLOOKUP($A200,Questions!$A$3:$X$333,2,0)&amp;""</f>
      </c>
      <c r="C200" s="57">
        <f>VLOOKUP($A200,Questions!$A$3:$X$333,19,0)&amp;""</f>
      </c>
      <c r="D200" s="57">
        <f>VLOOKUP($A200,Questions!$A$3:$X$333,20,0)&amp;""</f>
      </c>
    </row>
    <row r="201" spans="1:5" ht="45" x14ac:dyDescent="0.2">
      <c r="A201" s="57" t="s">
        <v>152</v>
      </c>
      <c r="B201" s="57">
        <f>VLOOKUP($A201,Questions!$A$3:$X$333,2,0)&amp;""</f>
      </c>
      <c r="C201" s="57">
        <f>VLOOKUP($A201,Questions!$A$3:$X$333,19,0)&amp;""</f>
      </c>
      <c r="D201" s="57">
        <f>VLOOKUP($A201,Questions!$A$3:$X$333,20,0)&amp;""</f>
      </c>
      <c r="E201" s="60"/>
    </row>
    <row r="202" spans="1:5" ht="45" x14ac:dyDescent="0.2">
      <c r="A202" s="57" t="s">
        <v>154</v>
      </c>
      <c r="B202" s="57">
        <f>VLOOKUP($A202,Questions!$A$3:$X$333,2,0)&amp;""</f>
      </c>
      <c r="C202" s="57">
        <f>VLOOKUP($A202,Questions!$A$3:$X$333,19,0)&amp;""</f>
      </c>
      <c r="D202" s="57">
        <f>VLOOKUP($A202,Questions!$A$3:$X$333,20,0)&amp;""</f>
      </c>
      <c r="E202" s="60"/>
    </row>
    <row r="203" spans="1:5" ht="45" x14ac:dyDescent="0.2">
      <c r="A203" s="57" t="s">
        <v>155</v>
      </c>
      <c r="B203" s="57">
        <f>VLOOKUP($A203,Questions!$A$3:$X$333,2,0)&amp;""</f>
      </c>
      <c r="C203" s="57">
        <f>VLOOKUP($A203,Questions!$A$3:$X$333,19,0)&amp;""</f>
      </c>
      <c r="D203" s="57">
        <f>VLOOKUP($A203,Questions!$A$3:$X$333,20,0)&amp;""</f>
      </c>
      <c r="E203" s="60"/>
    </row>
    <row r="204" spans="1:5" ht="45" x14ac:dyDescent="0.2">
      <c r="A204" s="57" t="s">
        <v>157</v>
      </c>
      <c r="B204" s="57">
        <f>VLOOKUP($A204,Questions!$A$3:$X$333,2,0)&amp;""</f>
      </c>
      <c r="C204" s="57">
        <f>VLOOKUP($A204,Questions!$A$3:$X$333,19,0)&amp;""</f>
      </c>
      <c r="D204" s="57">
        <f>VLOOKUP($A204,Questions!$A$3:$X$333,20,0)&amp;""</f>
      </c>
      <c r="E204" s="58"/>
    </row>
    <row r="205" spans="1:5" ht="45" x14ac:dyDescent="0.2">
      <c r="A205" s="57" t="s">
        <v>158</v>
      </c>
      <c r="B205" s="57">
        <f>VLOOKUP($A205,Questions!$A$3:$X$333,2,0)&amp;""</f>
      </c>
      <c r="C205" s="57">
        <f>VLOOKUP($A205,Questions!$A$3:$X$333,19,0)&amp;""</f>
      </c>
      <c r="D205" s="57">
        <f>VLOOKUP($A205,Questions!$A$3:$X$333,20,0)&amp;""</f>
      </c>
    </row>
    <row r="206" spans="1:5" ht="45" x14ac:dyDescent="0.2">
      <c r="A206" s="57" t="s">
        <v>160</v>
      </c>
      <c r="B206" s="57">
        <f>VLOOKUP($A206,Questions!$A$3:$X$333,2,0)&amp;""</f>
      </c>
      <c r="C206" s="57">
        <f>VLOOKUP($A206,Questions!$A$3:$X$333,19,0)&amp;""</f>
      </c>
      <c r="D206" s="57">
        <f>VLOOKUP($A206,Questions!$A$3:$X$333,20,0)&amp;""</f>
      </c>
    </row>
    <row r="207" spans="1:5" ht="42.75" customHeight="1" x14ac:dyDescent="0.2">
      <c r="A207" s="63">
        <f>VLOOKUP(LEFT($A208,4),'Auto Responses'!$N$4:$O$38,2,0)&amp;""</f>
        <v xml:space="preserve">HIPAA Compliance </v>
      </c>
      <c r="B207" s="63"/>
      <c r="C207" s="56" t="str">
        <f>Questions!$S$2</f>
      </c>
      <c r="D207" s="56">
        <f>Questions!$T$2</f>
      </c>
    </row>
    <row r="208" spans="1:5" ht="53.25" customHeight="1" x14ac:dyDescent="0.2">
      <c r="A208" s="57" t="s">
        <v>590</v>
      </c>
      <c r="B208" s="57">
        <f>VLOOKUP($A208,Questions!$A$3:$X$333,2,0)&amp;""</f>
      </c>
      <c r="C208" s="57">
        <f>VLOOKUP($A208,Questions!$A$3:$X$333,19,0)&amp;""</f>
      </c>
      <c r="D208" s="57">
        <f>VLOOKUP($A208,Questions!$A$3:$X$333,20,0)&amp;""</f>
      </c>
    </row>
    <row r="209" spans="1:5" ht="39.75" customHeight="1" x14ac:dyDescent="0.2">
      <c r="A209" s="57" t="s">
        <v>595</v>
      </c>
      <c r="B209" s="57">
        <f>VLOOKUP($A209,Questions!$A$3:$X$333,2,0)&amp;""</f>
      </c>
      <c r="C209" s="57">
        <f>VLOOKUP($A209,Questions!$A$3:$X$333,19,0)&amp;""</f>
      </c>
      <c r="D209" s="57">
        <f>VLOOKUP($A209,Questions!$A$3:$X$333,20,0)&amp;""</f>
      </c>
    </row>
    <row r="210" spans="1:5" ht="40.5" customHeight="1" x14ac:dyDescent="0.2">
      <c r="A210" s="57" t="s">
        <v>597</v>
      </c>
      <c r="B210" s="57">
        <f>VLOOKUP($A210,Questions!$A$3:$X$333,2,0)&amp;""</f>
      </c>
      <c r="C210" s="57">
        <f>VLOOKUP($A210,Questions!$A$3:$X$333,19,0)&amp;""</f>
      </c>
      <c r="D210" s="57">
        <f>VLOOKUP($A210,Questions!$A$3:$X$333,20,0)&amp;""</f>
      </c>
      <c r="E210" s="51"/>
    </row>
    <row r="211" spans="1:5" ht="39" customHeight="1" x14ac:dyDescent="0.2">
      <c r="A211" s="57" t="s">
        <v>599</v>
      </c>
      <c r="B211" s="57">
        <f>VLOOKUP($A211,Questions!$A$3:$X$333,2,0)&amp;""</f>
      </c>
      <c r="C211" s="57">
        <f>VLOOKUP($A211,Questions!$A$3:$X$333,19,0)&amp;""</f>
      </c>
      <c r="D211" s="57">
        <f>VLOOKUP($A211,Questions!$A$3:$X$333,20,0)&amp;""</f>
      </c>
    </row>
    <row r="212" spans="1:5" ht="23.25" customHeight="1" x14ac:dyDescent="0.2">
      <c r="A212" s="57" t="s">
        <v>601</v>
      </c>
      <c r="B212" s="57">
        <f>VLOOKUP($A212,Questions!$A$3:$X$333,2,0)&amp;""</f>
      </c>
      <c r="C212" s="57">
        <f>VLOOKUP($A212,Questions!$A$3:$X$333,19,0)&amp;""</f>
      </c>
      <c r="D212" s="57">
        <f>VLOOKUP($A212,Questions!$A$3:$X$333,20,0)&amp;""</f>
      </c>
    </row>
    <row r="213" spans="1:5" ht="39.75" customHeight="1" x14ac:dyDescent="0.2">
      <c r="A213" s="57" t="s">
        <v>602</v>
      </c>
      <c r="B213" s="57">
        <f>VLOOKUP($A213,Questions!$A$3:$X$333,2,0)&amp;""</f>
      </c>
      <c r="C213" s="57">
        <f>VLOOKUP($A213,Questions!$A$3:$X$333,19,0)&amp;""</f>
      </c>
      <c r="D213" s="57">
        <f>VLOOKUP($A213,Questions!$A$3:$X$333,20,0)&amp;""</f>
      </c>
    </row>
    <row r="214" spans="1:5" ht="38.25" customHeight="1" x14ac:dyDescent="0.2">
      <c r="A214" s="57" t="s">
        <v>603</v>
      </c>
      <c r="B214" s="57">
        <f>VLOOKUP($A214,Questions!$A$3:$X$333,2,0)&amp;""</f>
      </c>
      <c r="C214" s="57">
        <f>VLOOKUP($A214,Questions!$A$3:$X$333,19,0)&amp;""</f>
      </c>
      <c r="D214" s="57">
        <f>VLOOKUP($A214,Questions!$A$3:$X$333,20,0)&amp;""</f>
      </c>
    </row>
    <row r="215" spans="1:5" ht="36" customHeight="1" x14ac:dyDescent="0.2">
      <c r="A215" s="57" t="s">
        <v>605</v>
      </c>
      <c r="B215" s="57">
        <f>VLOOKUP($A215,Questions!$A$3:$X$333,2,0)&amp;""</f>
      </c>
      <c r="C215" s="57">
        <f>VLOOKUP($A215,Questions!$A$3:$X$333,19,0)&amp;""</f>
      </c>
      <c r="D215" s="57">
        <f>VLOOKUP($A215,Questions!$A$3:$X$333,20,0)&amp;""</f>
      </c>
    </row>
    <row r="216" spans="1:5" x14ac:dyDescent="0.2">
      <c r="A216" s="57" t="s">
        <v>607</v>
      </c>
      <c r="B216" s="57">
        <f>VLOOKUP($A216,Questions!$A$3:$X$333,2,0)&amp;""</f>
      </c>
      <c r="C216" s="57">
        <f>VLOOKUP($A216,Questions!$A$3:$X$333,19,0)&amp;""</f>
      </c>
      <c r="D216" s="57">
        <f>VLOOKUP($A216,Questions!$A$3:$X$333,20,0)&amp;""</f>
      </c>
    </row>
    <row r="217" spans="1:5" ht="34.5" customHeight="1" x14ac:dyDescent="0.2">
      <c r="A217" s="57" t="s">
        <v>609</v>
      </c>
      <c r="B217" s="57">
        <f>VLOOKUP($A217,Questions!$A$3:$X$333,2,0)&amp;""</f>
      </c>
      <c r="C217" s="57">
        <f>VLOOKUP($A217,Questions!$A$3:$X$333,19,0)&amp;""</f>
      </c>
      <c r="D217" s="57">
        <f>VLOOKUP($A217,Questions!$A$3:$X$333,20,0)&amp;""</f>
      </c>
      <c r="E217" s="51"/>
    </row>
    <row r="218" spans="1:5" ht="52.5" customHeight="1" x14ac:dyDescent="0.2">
      <c r="A218" s="57" t="s">
        <v>611</v>
      </c>
      <c r="B218" s="57">
        <f>VLOOKUP($A218,Questions!$A$3:$X$333,2,0)&amp;""</f>
      </c>
      <c r="C218" s="57">
        <f>VLOOKUP($A218,Questions!$A$3:$X$333,19,0)&amp;""</f>
      </c>
      <c r="D218" s="57">
        <f>VLOOKUP($A218,Questions!$A$3:$X$333,20,0)&amp;""</f>
      </c>
    </row>
    <row r="219" spans="1:5" ht="21" customHeight="1" x14ac:dyDescent="0.2">
      <c r="A219" s="57" t="s">
        <v>613</v>
      </c>
      <c r="B219" s="57">
        <f>VLOOKUP($A219,Questions!$A$3:$X$333,2,0)&amp;""</f>
      </c>
      <c r="C219" s="57">
        <f>VLOOKUP($A219,Questions!$A$3:$X$333,19,0)&amp;""</f>
      </c>
      <c r="D219" s="57">
        <f>VLOOKUP($A219,Questions!$A$3:$X$333,20,0)&amp;""</f>
      </c>
    </row>
    <row r="220" spans="1:5" ht="23.25" customHeight="1" x14ac:dyDescent="0.2">
      <c r="A220" s="57" t="s">
        <v>615</v>
      </c>
      <c r="B220" s="57">
        <f>VLOOKUP($A220,Questions!$A$3:$X$333,2,0)&amp;""</f>
      </c>
      <c r="C220" s="57">
        <f>VLOOKUP($A220,Questions!$A$3:$X$333,19,0)&amp;""</f>
      </c>
      <c r="D220" s="57">
        <f>VLOOKUP($A220,Questions!$A$3:$X$333,20,0)&amp;""</f>
      </c>
    </row>
    <row r="221" spans="1:5" ht="24.75" customHeight="1" x14ac:dyDescent="0.2">
      <c r="A221" s="57" t="s">
        <v>617</v>
      </c>
      <c r="B221" s="57">
        <f>VLOOKUP($A221,Questions!$A$3:$X$333,2,0)&amp;""</f>
      </c>
      <c r="C221" s="57">
        <f>VLOOKUP($A221,Questions!$A$3:$X$333,19,0)&amp;""</f>
      </c>
      <c r="D221" s="57">
        <f>VLOOKUP($A221,Questions!$A$3:$X$333,20,0)&amp;""</f>
      </c>
    </row>
    <row r="222" spans="1:5" ht="39" customHeight="1" x14ac:dyDescent="0.2">
      <c r="A222" s="57" t="s">
        <v>619</v>
      </c>
      <c r="B222" s="57">
        <f>VLOOKUP($A222,Questions!$A$3:$X$333,2,0)&amp;""</f>
      </c>
      <c r="C222" s="57">
        <f>VLOOKUP($A222,Questions!$A$3:$X$333,19,0)&amp;""</f>
      </c>
      <c r="D222" s="57">
        <f>VLOOKUP($A222,Questions!$A$3:$X$333,20,0)&amp;""</f>
      </c>
    </row>
    <row r="223" spans="1:5" ht="23.25" customHeight="1" x14ac:dyDescent="0.2">
      <c r="A223" s="57" t="s">
        <v>621</v>
      </c>
      <c r="B223" s="57">
        <f>VLOOKUP($A223,Questions!$A$3:$X$333,2,0)&amp;""</f>
      </c>
      <c r="C223" s="57">
        <f>VLOOKUP($A223,Questions!$A$3:$X$333,19,0)&amp;""</f>
      </c>
      <c r="D223" s="57">
        <f>VLOOKUP($A223,Questions!$A$3:$X$333,20,0)&amp;""</f>
      </c>
    </row>
    <row r="224" spans="1:5" ht="22.5" customHeight="1" x14ac:dyDescent="0.2">
      <c r="A224" s="57" t="s">
        <v>623</v>
      </c>
      <c r="B224" s="57">
        <f>VLOOKUP($A224,Questions!$A$3:$X$333,2,0)&amp;""</f>
      </c>
      <c r="C224" s="57">
        <f>VLOOKUP($A224,Questions!$A$3:$X$333,19,0)&amp;""</f>
      </c>
      <c r="D224" s="57">
        <f>VLOOKUP($A224,Questions!$A$3:$X$333,20,0)&amp;""</f>
      </c>
    </row>
    <row r="225" spans="1:5" ht="33" customHeight="1" x14ac:dyDescent="0.15">
      <c r="A225" s="57" t="s">
        <v>625</v>
      </c>
      <c r="B225" s="57">
        <f>VLOOKUP($A225,Questions!$A$3:$X$333,2,0)&amp;""</f>
      </c>
      <c r="C225" s="57">
        <f>VLOOKUP($A225,Questions!$A$3:$X$333,19,0)&amp;""</f>
      </c>
      <c r="D225" s="57">
        <f>VLOOKUP($A225,Questions!$A$3:$X$333,20,0)&amp;""</f>
      </c>
      <c r="E225" s="238" t="s">
        <v>1453</v>
      </c>
    </row>
    <row r="226" spans="1:5" x14ac:dyDescent="0.2">
      <c r="A226" s="57" t="s">
        <v>626</v>
      </c>
      <c r="B226" s="57">
        <f>VLOOKUP($A226,Questions!$A$3:$X$333,2,0)&amp;""</f>
      </c>
      <c r="C226" s="57">
        <f>VLOOKUP($A226,Questions!$A$3:$X$333,19,0)&amp;""</f>
      </c>
      <c r="D226" s="57">
        <f>VLOOKUP($A226,Questions!$A$3:$X$333,20,0)&amp;""</f>
      </c>
    </row>
    <row r="227" spans="1:5" ht="36" customHeight="1" x14ac:dyDescent="0.2">
      <c r="A227" s="57" t="s">
        <v>628</v>
      </c>
      <c r="B227" s="57">
        <f>VLOOKUP($A227,Questions!$A$3:$X$333,2,0)&amp;""</f>
      </c>
      <c r="C227" s="57">
        <f>VLOOKUP($A227,Questions!$A$3:$X$333,19,0)&amp;""</f>
      </c>
      <c r="D227" s="57">
        <f>VLOOKUP($A227,Questions!$A$3:$X$333,20,0)&amp;""</f>
      </c>
    </row>
    <row r="228" spans="1:5" ht="36.75" customHeight="1" x14ac:dyDescent="0.2">
      <c r="A228" s="57" t="s">
        <v>629</v>
      </c>
      <c r="B228" s="57">
        <f>VLOOKUP($A228,Questions!$A$3:$X$333,2,0)&amp;""</f>
      </c>
      <c r="C228" s="57">
        <f>VLOOKUP($A228,Questions!$A$3:$X$333,19,0)&amp;""</f>
      </c>
      <c r="D228" s="57">
        <f>VLOOKUP($A228,Questions!$A$3:$X$333,20,0)&amp;""</f>
      </c>
    </row>
    <row r="229" spans="1:5" ht="40.5" customHeight="1" x14ac:dyDescent="0.2">
      <c r="A229" s="57" t="s">
        <v>630</v>
      </c>
      <c r="B229" s="57">
        <f>VLOOKUP($A229,Questions!$A$3:$X$333,2,0)&amp;""</f>
      </c>
      <c r="C229" s="57">
        <f>VLOOKUP($A229,Questions!$A$3:$X$333,19,0)&amp;""</f>
      </c>
      <c r="D229" s="57">
        <f>VLOOKUP($A229,Questions!$A$3:$X$333,20,0)&amp;""</f>
      </c>
    </row>
    <row r="230" spans="1:5" ht="39" customHeight="1" x14ac:dyDescent="0.2">
      <c r="A230" s="57" t="s">
        <v>632</v>
      </c>
      <c r="B230" s="57">
        <f>VLOOKUP($A230,Questions!$A$3:$X$333,2,0)&amp;""</f>
      </c>
      <c r="C230" s="57">
        <f>VLOOKUP($A230,Questions!$A$3:$X$333,19,0)&amp;""</f>
      </c>
      <c r="D230" s="57">
        <f>VLOOKUP($A230,Questions!$A$3:$X$333,20,0)&amp;""</f>
      </c>
    </row>
    <row r="231" spans="1:5" ht="38.25" customHeight="1" x14ac:dyDescent="0.2">
      <c r="A231" s="57" t="s">
        <v>634</v>
      </c>
      <c r="B231" s="57">
        <f>VLOOKUP($A231,Questions!$A$3:$X$333,2,0)&amp;""</f>
      </c>
      <c r="C231" s="57">
        <f>VLOOKUP($A231,Questions!$A$3:$X$333,19,0)&amp;""</f>
      </c>
      <c r="D231" s="57">
        <f>VLOOKUP($A231,Questions!$A$3:$X$333,20,0)&amp;""</f>
      </c>
    </row>
    <row r="232" spans="1:5" ht="28.5" customHeight="1" x14ac:dyDescent="0.2">
      <c r="A232" s="57" t="s">
        <v>636</v>
      </c>
      <c r="B232" s="57">
        <f>VLOOKUP($A232,Questions!$A$3:$X$333,2,0)&amp;""</f>
      </c>
      <c r="C232" s="57">
        <f>VLOOKUP($A232,Questions!$A$3:$X$333,19,0)&amp;""</f>
      </c>
      <c r="D232" s="57">
        <f>VLOOKUP($A232,Questions!$A$3:$X$333,20,0)&amp;""</f>
      </c>
    </row>
    <row r="233" spans="1:5" ht="29.25" customHeight="1" x14ac:dyDescent="0.2">
      <c r="A233" s="57" t="s">
        <v>638</v>
      </c>
      <c r="B233" s="57">
        <f>VLOOKUP($A233,Questions!$A$3:$X$333,2,0)&amp;""</f>
      </c>
      <c r="C233" s="57">
        <f>VLOOKUP($A233,Questions!$A$3:$X$333,19,0)&amp;""</f>
      </c>
      <c r="D233" s="57">
        <f>VLOOKUP($A233,Questions!$A$3:$X$333,20,0)&amp;""</f>
      </c>
    </row>
    <row r="234" spans="1:5" ht="26.25" customHeight="1" x14ac:dyDescent="0.2">
      <c r="A234" s="57" t="s">
        <v>639</v>
      </c>
      <c r="B234" s="57">
        <f>VLOOKUP($A234,Questions!$A$3:$X$333,2,0)&amp;""</f>
      </c>
      <c r="C234" s="57">
        <f>VLOOKUP($A234,Questions!$A$3:$X$333,19,0)&amp;""</f>
      </c>
      <c r="D234" s="57">
        <f>VLOOKUP($A234,Questions!$A$3:$X$333,20,0)&amp;""</f>
      </c>
    </row>
    <row r="235" spans="1:5" ht="36.75" customHeight="1" x14ac:dyDescent="0.2">
      <c r="A235" s="57" t="s">
        <v>641</v>
      </c>
      <c r="B235" s="57">
        <f>VLOOKUP($A235,Questions!$A$3:$X$333,2,0)&amp;""</f>
      </c>
      <c r="C235" s="57">
        <f>VLOOKUP($A235,Questions!$A$3:$X$333,19,0)&amp;""</f>
      </c>
      <c r="D235" s="57">
        <f>VLOOKUP($A235,Questions!$A$3:$X$333,20,0)&amp;""</f>
      </c>
    </row>
    <row r="236" spans="1:5" ht="22.5" customHeight="1" x14ac:dyDescent="0.2">
      <c r="A236" s="57" t="s">
        <v>643</v>
      </c>
      <c r="B236" s="57">
        <f>VLOOKUP($A236,Questions!$A$3:$X$333,2,0)&amp;""</f>
      </c>
      <c r="C236" s="57">
        <f>VLOOKUP($A236,Questions!$A$3:$X$333,19,0)&amp;""</f>
      </c>
      <c r="D236" s="57">
        <f>VLOOKUP($A236,Questions!$A$3:$X$333,20,0)&amp;""</f>
      </c>
    </row>
    <row r="237" spans="1:5" ht="24.75" customHeight="1" x14ac:dyDescent="0.2">
      <c r="A237" s="63">
        <f>VLOOKUP(LEFT($A238,4),'Auto Responses'!$N$4:$O$38,2,0)&amp;""</f>
        <v xml:space="preserve"> Payment Card Industry Data Security Standard (PCI DSS)</v>
      </c>
      <c r="B237" s="63"/>
      <c r="C237" s="56" t="str">
        <f>Questions!$S$2</f>
      </c>
      <c r="D237" s="56">
        <f>Questions!$T$2</f>
      </c>
    </row>
    <row r="238" spans="1:5" ht="51" customHeight="1" x14ac:dyDescent="0.15">
      <c r="A238" s="57" t="s">
        <v>644</v>
      </c>
      <c r="B238" s="57">
        <f>VLOOKUP($A238,Questions!$A$3:$X$333,2,0)&amp;""</f>
      </c>
      <c r="C238" s="57">
        <f>VLOOKUP($A238,Questions!$A$3:$X$333,19,0)&amp;""</f>
      </c>
      <c r="D238" s="57">
        <f>VLOOKUP($A238,Questions!$A$3:$X$333,20,0)&amp;""</f>
      </c>
      <c r="E238" s="238" t="s">
        <v>1453</v>
      </c>
    </row>
    <row r="239" spans="1:5" ht="30" x14ac:dyDescent="0.2">
      <c r="A239" s="57" t="s">
        <v>648</v>
      </c>
      <c r="B239" s="57">
        <f>VLOOKUP($A239,Questions!$A$3:$X$333,2,0)&amp;""</f>
      </c>
      <c r="C239" s="57">
        <f>VLOOKUP($A239,Questions!$A$3:$X$333,19,0)&amp;""</f>
      </c>
      <c r="D239" s="57">
        <f>VLOOKUP($A239,Questions!$A$3:$X$333,20,0)&amp;""</f>
      </c>
    </row>
    <row r="240" spans="1:5" ht="68.25" customHeight="1" x14ac:dyDescent="0.2">
      <c r="A240" s="57" t="s">
        <v>650</v>
      </c>
      <c r="B240" s="57">
        <f>VLOOKUP($A240,Questions!$A$3:$X$333,2,0)&amp;""</f>
      </c>
      <c r="C240" s="57">
        <f>VLOOKUP($A240,Questions!$A$3:$X$333,19,0)&amp;""</f>
      </c>
      <c r="D240" s="57">
        <f>VLOOKUP($A240,Questions!$A$3:$X$333,20,0)&amp;""</f>
      </c>
    </row>
    <row r="241" spans="1:5" ht="71.25" customHeight="1" x14ac:dyDescent="0.2">
      <c r="A241" s="57" t="s">
        <v>651</v>
      </c>
      <c r="B241" s="57">
        <f>VLOOKUP($A241,Questions!$A$3:$X$333,2,0)&amp;""</f>
      </c>
      <c r="C241" s="57">
        <f>VLOOKUP($A241,Questions!$A$3:$X$333,19,0)&amp;""</f>
      </c>
      <c r="D241" s="57">
        <f>VLOOKUP($A241,Questions!$A$3:$X$333,20,0)&amp;""</f>
      </c>
    </row>
    <row r="242" spans="1:5" ht="68.25" customHeight="1" x14ac:dyDescent="0.2">
      <c r="A242" s="57" t="s">
        <v>653</v>
      </c>
      <c r="B242" s="57">
        <f>VLOOKUP($A242,Questions!$A$3:$X$333,2,0)&amp;""</f>
      </c>
      <c r="C242" s="57">
        <f>VLOOKUP($A242,Questions!$A$3:$X$333,19,0)&amp;""</f>
      </c>
      <c r="D242" s="57">
        <f>VLOOKUP($A242,Questions!$A$3:$X$333,20,0)&amp;""</f>
      </c>
    </row>
    <row r="243" spans="1:5" ht="76.5" customHeight="1" x14ac:dyDescent="0.2">
      <c r="A243" s="57" t="s">
        <v>654</v>
      </c>
      <c r="B243" s="57">
        <f>VLOOKUP($A243,Questions!$A$3:$X$333,2,0)&amp;""</f>
      </c>
      <c r="C243" s="57">
        <f>VLOOKUP($A243,Questions!$A$3:$X$333,19,0)&amp;""</f>
      </c>
      <c r="D243" s="57">
        <f>VLOOKUP($A243,Questions!$A$3:$X$333,20,0)&amp;""</f>
      </c>
    </row>
    <row r="244" spans="1:5" ht="81" customHeight="1" x14ac:dyDescent="0.2">
      <c r="A244" s="57" t="s">
        <v>656</v>
      </c>
      <c r="B244" s="57">
        <f>VLOOKUP($A244,Questions!$A$3:$X$333,2,0)&amp;""</f>
      </c>
      <c r="C244" s="57">
        <f>VLOOKUP($A244,Questions!$A$3:$X$333,19,0)&amp;""</f>
      </c>
      <c r="D244" s="57">
        <f>VLOOKUP($A244,Questions!$A$3:$X$333,20,0)&amp;""</f>
      </c>
    </row>
    <row r="245" spans="1:5" ht="38.25" customHeight="1" x14ac:dyDescent="0.2">
      <c r="A245" s="57" t="s">
        <v>658</v>
      </c>
      <c r="B245" s="57">
        <f>VLOOKUP($A245,Questions!$A$3:$X$333,2,0)&amp;""</f>
      </c>
      <c r="C245" s="57">
        <f>VLOOKUP($A245,Questions!$A$3:$X$333,19,0)&amp;""</f>
      </c>
      <c r="D245" s="57">
        <f>VLOOKUP($A245,Questions!$A$3:$X$333,20,0)&amp;""</f>
      </c>
    </row>
    <row r="246" spans="1:5" ht="61.5" customHeight="1" x14ac:dyDescent="0.2">
      <c r="A246" s="57" t="s">
        <v>660</v>
      </c>
      <c r="B246" s="57">
        <f>VLOOKUP($A246,Questions!$A$3:$X$333,2,0)&amp;""</f>
      </c>
      <c r="C246" s="57">
        <f>VLOOKUP($A246,Questions!$A$3:$X$333,19,0)&amp;""</f>
      </c>
      <c r="D246" s="57">
        <f>VLOOKUP($A246,Questions!$A$3:$X$333,20,0)&amp;""</f>
      </c>
    </row>
    <row r="247" spans="1:5" ht="54" customHeight="1" x14ac:dyDescent="0.2">
      <c r="A247" s="57" t="s">
        <v>661</v>
      </c>
      <c r="B247" s="57">
        <f>VLOOKUP($A247,Questions!$A$3:$X$333,2,0)&amp;""</f>
      </c>
      <c r="C247" s="57">
        <f>VLOOKUP($A247,Questions!$A$3:$X$333,19,0)&amp;""</f>
      </c>
      <c r="D247" s="57">
        <f>VLOOKUP($A247,Questions!$A$3:$X$333,20,0)&amp;""</f>
      </c>
      <c r="E247" s="51"/>
    </row>
    <row r="248" spans="1:5" x14ac:dyDescent="0.2">
      <c r="A248" s="57" t="s">
        <v>662</v>
      </c>
      <c r="B248" s="57">
        <f>VLOOKUP($A248,Questions!$A$3:$X$333,2,0)&amp;""</f>
      </c>
      <c r="C248" s="57">
        <f>VLOOKUP($A248,Questions!$A$3:$X$333,19,0)&amp;""</f>
      </c>
      <c r="D248" s="57">
        <f>VLOOKUP($A248,Questions!$A$3:$X$333,20,0)&amp;""</f>
      </c>
      <c r="E248" s="51"/>
    </row>
    <row r="249" spans="1:5" ht="60.75" customHeight="1" x14ac:dyDescent="0.15">
      <c r="A249" s="57" t="s">
        <v>663</v>
      </c>
      <c r="B249" s="57">
        <f>VLOOKUP($A249,Questions!$A$3:$X$333,2,0)&amp;""</f>
      </c>
      <c r="C249" s="57">
        <f>VLOOKUP($A249,Questions!$A$3:$X$333,19,0)&amp;""</f>
      </c>
      <c r="D249" s="57">
        <f>VLOOKUP($A249,Questions!$A$3:$X$333,20,0)&amp;""</f>
      </c>
      <c r="E249" s="238" t="s">
        <v>1453</v>
      </c>
    </row>
    <row r="250" spans="1:5" ht="19" x14ac:dyDescent="0.2">
      <c r="A250" s="63">
        <f>VLOOKUP(LEFT($A251,4),'Auto Responses'!$N$4:$O$38,2,0)&amp;""</f>
        <v xml:space="preserve"> On-Premises Data Solutions</v>
      </c>
      <c r="B250" s="63"/>
      <c r="C250" s="56" t="str">
        <f>Questions!$S$2</f>
      </c>
      <c r="D250" s="56">
        <f>Questions!$T$2</f>
      </c>
    </row>
    <row r="251" spans="1:5" ht="65.25" customHeight="1" x14ac:dyDescent="0.2">
      <c r="A251" s="57" t="s">
        <v>664</v>
      </c>
      <c r="B251" s="57">
        <f>VLOOKUP($A251,Questions!$A$3:$X$333,2,0)&amp;""</f>
      </c>
      <c r="C251" s="57">
        <f>VLOOKUP($A251,Questions!$A$3:$X$333,19,0)&amp;""</f>
      </c>
      <c r="D251" s="57">
        <f>VLOOKUP($A251,Questions!$A$3:$X$333,20,0)&amp;""</f>
      </c>
    </row>
    <row r="252" spans="1:5" ht="78" customHeight="1" x14ac:dyDescent="0.2">
      <c r="A252" s="57" t="s">
        <v>666</v>
      </c>
      <c r="B252" s="57">
        <f>VLOOKUP($A252,Questions!$A$3:$X$333,2,0)&amp;""</f>
      </c>
      <c r="C252" s="57">
        <f>VLOOKUP($A252,Questions!$A$3:$X$333,19,0)&amp;""</f>
      </c>
      <c r="D252" s="57">
        <f>VLOOKUP($A252,Questions!$A$3:$X$333,20,0)&amp;""</f>
      </c>
    </row>
    <row r="253" spans="1:5" ht="60.75" customHeight="1" x14ac:dyDescent="0.2">
      <c r="A253" s="57" t="s">
        <v>670</v>
      </c>
      <c r="B253" s="57">
        <f>VLOOKUP($A253,Questions!$A$3:$X$333,2,0)&amp;""</f>
      </c>
      <c r="C253" s="57">
        <f>VLOOKUP($A253,Questions!$A$3:$X$333,19,0)&amp;""</f>
      </c>
      <c r="D253" s="57">
        <f>VLOOKUP($A253,Questions!$A$3:$X$333,20,0)&amp;""</f>
      </c>
    </row>
    <row r="254" spans="1:5" ht="78.75" customHeight="1" x14ac:dyDescent="0.2">
      <c r="A254" s="57" t="s">
        <v>674</v>
      </c>
      <c r="B254" s="57">
        <f>VLOOKUP($A254,Questions!$A$3:$X$333,2,0)&amp;""</f>
      </c>
      <c r="C254" s="57">
        <f>VLOOKUP($A254,Questions!$A$3:$X$333,19,0)&amp;""</f>
      </c>
      <c r="D254" s="57">
        <f>VLOOKUP($A254,Questions!$A$3:$X$333,20,0)&amp;""</f>
      </c>
    </row>
    <row r="255" spans="1:5" ht="74.25" customHeight="1" x14ac:dyDescent="0.15">
      <c r="A255" s="57" t="s">
        <v>677</v>
      </c>
      <c r="B255" s="57">
        <f>VLOOKUP($A255,Questions!$A$3:$X$333,2,0)&amp;""</f>
      </c>
      <c r="C255" s="57">
        <f>VLOOKUP($A255,Questions!$A$3:$X$333,19,0)&amp;""</f>
      </c>
      <c r="D255" s="57">
        <f>VLOOKUP($A255,Questions!$A$3:$X$333,20,0)&amp;""</f>
      </c>
      <c r="E255" s="238" t="s">
        <v>1453</v>
      </c>
    </row>
    <row r="256" spans="1:5" ht="30" x14ac:dyDescent="0.2">
      <c r="A256" s="57" t="s">
        <v>681</v>
      </c>
      <c r="B256" s="57">
        <f>VLOOKUP($A256,Questions!$A$3:$X$333,2,0)&amp;""</f>
      </c>
      <c r="C256" s="57">
        <f>VLOOKUP($A256,Questions!$A$3:$X$333,19,0)&amp;""</f>
      </c>
      <c r="D256" s="57">
        <f>VLOOKUP($A256,Questions!$A$3:$X$333,20,0)&amp;""</f>
      </c>
    </row>
    <row r="257" spans="1:5" ht="60" customHeight="1" x14ac:dyDescent="0.2">
      <c r="A257" s="57" t="s">
        <v>683</v>
      </c>
      <c r="B257" s="57">
        <f>VLOOKUP($A257,Questions!$A$3:$X$333,2,0)&amp;""</f>
      </c>
      <c r="C257" s="57">
        <f>VLOOKUP($A257,Questions!$A$3:$X$333,19,0)&amp;""</f>
      </c>
      <c r="D257" s="57">
        <f>VLOOKUP($A257,Questions!$A$3:$X$333,20,0)&amp;""</f>
      </c>
    </row>
    <row r="258" spans="1:5" ht="58.5" customHeight="1" x14ac:dyDescent="0.2">
      <c r="A258" s="57" t="s">
        <v>686</v>
      </c>
      <c r="B258" s="57">
        <f>VLOOKUP($A258,Questions!$A$3:$X$333,2,0)&amp;""</f>
      </c>
      <c r="C258" s="57">
        <f>VLOOKUP($A258,Questions!$A$3:$X$333,19,0)&amp;""</f>
      </c>
      <c r="D258" s="57">
        <f>VLOOKUP($A258,Questions!$A$3:$X$333,20,0)&amp;""</f>
      </c>
    </row>
    <row r="259" spans="1:5" ht="51.75" customHeight="1" x14ac:dyDescent="0.2">
      <c r="A259" s="57" t="s">
        <v>687</v>
      </c>
      <c r="B259" s="57">
        <f>VLOOKUP($A259,Questions!$A$3:$X$333,2,0)&amp;""</f>
      </c>
      <c r="C259" s="57">
        <f>VLOOKUP($A259,Questions!$A$3:$X$333,19,0)&amp;""</f>
      </c>
      <c r="D259" s="57">
        <f>VLOOKUP($A259,Questions!$A$3:$X$333,20,0)&amp;""</f>
      </c>
    </row>
    <row r="260" spans="1:5" ht="63.75" customHeight="1" x14ac:dyDescent="0.15">
      <c r="A260" s="57" t="s">
        <v>692</v>
      </c>
      <c r="B260" s="57">
        <f>VLOOKUP($A260,Questions!$A$3:$X$333,2,0)&amp;""</f>
      </c>
      <c r="C260" s="57">
        <f>VLOOKUP($A260,Questions!$A$3:$X$333,19,0)&amp;""</f>
      </c>
      <c r="D260" s="57">
        <f>VLOOKUP($A260,Questions!$A$3:$X$333,20,0)&amp;""</f>
      </c>
      <c r="E260" s="238" t="s">
        <v>1453</v>
      </c>
    </row>
    <row r="261" spans="1:5" ht="19" x14ac:dyDescent="0.2">
      <c r="A261" s="63">
        <f>VLOOKUP(LEFT($A262,4),'Auto Responses'!$N$4:$O$38,2,0)&amp;""</f>
        <v xml:space="preserve"> AI Qualifying Questions</v>
      </c>
      <c r="B261" s="63"/>
      <c r="C261" s="56" t="str">
        <f>Questions!$S$2</f>
      </c>
      <c r="D261" s="56">
        <f>Questions!$T$2</f>
      </c>
    </row>
    <row r="262" spans="1:5" ht="36" customHeight="1" x14ac:dyDescent="0.2">
      <c r="A262" s="57" t="s">
        <v>782</v>
      </c>
      <c r="B262" s="57">
        <f>VLOOKUP($A262,Questions!$A$3:$X$333,2,0)&amp;""</f>
      </c>
      <c r="C262" s="57">
        <f>VLOOKUP($A262,Questions!$A$3:$X$333,19,0)&amp;""</f>
      </c>
      <c r="D262" s="57">
        <f>VLOOKUP($A262,Questions!$A$3:$X$333,20,0)&amp;""</f>
      </c>
    </row>
    <row r="263" spans="1:5" ht="38.25" customHeight="1" x14ac:dyDescent="0.2">
      <c r="A263" s="57" t="s">
        <v>783</v>
      </c>
      <c r="B263" s="57">
        <f>VLOOKUP($A263,Questions!$A$3:$X$333,2,0)&amp;""</f>
      </c>
      <c r="C263" s="57">
        <f>VLOOKUP($A263,Questions!$A$3:$X$333,19,0)&amp;""</f>
      </c>
      <c r="D263" s="57">
        <f>VLOOKUP($A263,Questions!$A$3:$X$333,20,0)&amp;""</f>
      </c>
    </row>
    <row r="264" spans="1:5" ht="39" customHeight="1" x14ac:dyDescent="0.15">
      <c r="A264" s="63">
        <f>VLOOKUP(LEFT($A265,4),'Auto Responses'!$N$4:$O$38,2,0)&amp;""</f>
        <v xml:space="preserve"> General AI Questions</v>
      </c>
      <c r="B264" s="63"/>
      <c r="C264" s="56" t="str">
        <f>Questions!$S$2</f>
      </c>
      <c r="D264" s="56">
        <f>Questions!$T$2</f>
      </c>
      <c r="E264" s="238" t="s">
        <v>1453</v>
      </c>
    </row>
    <row r="265" spans="1:5" ht="30" x14ac:dyDescent="0.2">
      <c r="A265" s="57" t="s">
        <v>784</v>
      </c>
      <c r="B265" s="57">
        <f>VLOOKUP($A265,Questions!$A$3:$X$333,2,0)&amp;""</f>
      </c>
      <c r="C265" s="57">
        <f>VLOOKUP($A265,Questions!$A$3:$X$333,19,0)&amp;""</f>
      </c>
      <c r="D265" s="57">
        <f>VLOOKUP($A265,Questions!$A$3:$X$333,20,0)&amp;""</f>
      </c>
    </row>
    <row r="266" spans="1:5" ht="50.25" customHeight="1" x14ac:dyDescent="0.2">
      <c r="A266" s="57" t="s">
        <v>785</v>
      </c>
      <c r="B266" s="57">
        <f>VLOOKUP($A266,Questions!$A$3:$X$333,2,0)&amp;""</f>
      </c>
      <c r="C266" s="57">
        <f>VLOOKUP($A266,Questions!$A$3:$X$333,19,0)&amp;""</f>
      </c>
      <c r="D266" s="57">
        <f>VLOOKUP($A266,Questions!$A$3:$X$333,20,0)&amp;""</f>
      </c>
    </row>
    <row r="267" spans="1:5" ht="60.75" customHeight="1" x14ac:dyDescent="0.15">
      <c r="A267" s="57" t="s">
        <v>786</v>
      </c>
      <c r="B267" s="57">
        <f>VLOOKUP($A267,Questions!$A$3:$X$333,2,0)&amp;""</f>
      </c>
      <c r="C267" s="57">
        <f>VLOOKUP($A267,Questions!$A$3:$X$333,19,0)&amp;""</f>
      </c>
      <c r="D267" s="57">
        <f>VLOOKUP($A267,Questions!$A$3:$X$333,20,0)&amp;""</f>
      </c>
      <c r="E267" s="238" t="s">
        <v>1453</v>
      </c>
    </row>
    <row r="268" spans="1:5" ht="30" x14ac:dyDescent="0.2">
      <c r="A268" s="57" t="s">
        <v>787</v>
      </c>
      <c r="B268" s="57">
        <f>VLOOKUP($A268,Questions!$A$3:$X$333,2,0)&amp;""</f>
      </c>
      <c r="C268" s="57">
        <f>VLOOKUP($A268,Questions!$A$3:$X$333,19,0)&amp;""</f>
      </c>
      <c r="D268" s="57">
        <f>VLOOKUP($A268,Questions!$A$3:$X$333,20,0)&amp;""</f>
      </c>
    </row>
    <row r="269" spans="1:5" ht="39" customHeight="1" x14ac:dyDescent="0.2">
      <c r="A269" s="57" t="s">
        <v>788</v>
      </c>
      <c r="B269" s="57">
        <f>VLOOKUP($A269,Questions!$A$3:$X$333,2,0)&amp;""</f>
      </c>
      <c r="C269" s="57">
        <f>VLOOKUP($A269,Questions!$A$3:$X$333,19,0)&amp;""</f>
      </c>
      <c r="D269" s="57">
        <f>VLOOKUP($A269,Questions!$A$3:$X$333,20,0)&amp;""</f>
      </c>
    </row>
    <row r="270" spans="1:5" ht="38.25" customHeight="1" x14ac:dyDescent="0.15">
      <c r="A270" s="63">
        <f>VLOOKUP(LEFT($A271,4),'Auto Responses'!$N$4:$O$38,2,0)&amp;""</f>
        <v xml:space="preserve"> AI Policy</v>
      </c>
      <c r="B270" s="63"/>
      <c r="C270" s="56" t="str">
        <f>Questions!$S$2</f>
      </c>
      <c r="D270" s="56">
        <f>Questions!$T$2</f>
      </c>
      <c r="E270" s="238" t="s">
        <v>1453</v>
      </c>
    </row>
    <row r="271" spans="1:5" ht="45" x14ac:dyDescent="0.2">
      <c r="A271" s="57" t="s">
        <v>789</v>
      </c>
      <c r="B271" s="57">
        <f>VLOOKUP($A271,Questions!$A$3:$X$333,2,0)&amp;""</f>
      </c>
      <c r="C271" s="57">
        <f>VLOOKUP($A271,Questions!$A$3:$X$333,19,0)&amp;""</f>
      </c>
      <c r="D271" s="57">
        <f>VLOOKUP($A271,Questions!$A$3:$X$333,20,0)&amp;""</f>
      </c>
    </row>
    <row r="272" spans="1:5" ht="56.25" customHeight="1" x14ac:dyDescent="0.2">
      <c r="A272" s="57" t="s">
        <v>790</v>
      </c>
      <c r="B272" s="57">
        <f>VLOOKUP($A272,Questions!$A$3:$X$333,2,0)&amp;""</f>
      </c>
      <c r="C272" s="57">
        <f>VLOOKUP($A272,Questions!$A$3:$X$333,19,0)&amp;""</f>
      </c>
      <c r="D272" s="57">
        <f>VLOOKUP($A272,Questions!$A$3:$X$333,20,0)&amp;""</f>
      </c>
    </row>
    <row r="273" spans="1:5" ht="68.25" customHeight="1" x14ac:dyDescent="0.2">
      <c r="A273" s="57" t="s">
        <v>791</v>
      </c>
      <c r="B273" s="57">
        <f>VLOOKUP($A273,Questions!$A$3:$X$333,2,0)&amp;""</f>
      </c>
      <c r="C273" s="57">
        <f>VLOOKUP($A273,Questions!$A$3:$X$333,19,0)&amp;""</f>
      </c>
      <c r="D273" s="57">
        <f>VLOOKUP($A273,Questions!$A$3:$X$333,20,0)&amp;""</f>
      </c>
    </row>
    <row r="274" spans="1:5" ht="50.25" customHeight="1" x14ac:dyDescent="0.2">
      <c r="A274" s="57" t="s">
        <v>792</v>
      </c>
      <c r="B274" s="57">
        <f>VLOOKUP($A274,Questions!$A$3:$X$333,2,0)&amp;""</f>
      </c>
      <c r="C274" s="57">
        <f>VLOOKUP($A274,Questions!$A$3:$X$333,19,0)&amp;""</f>
      </c>
      <c r="D274" s="57">
        <f>VLOOKUP($A274,Questions!$A$3:$X$333,20,0)&amp;""</f>
      </c>
    </row>
    <row r="275" spans="1:5" ht="65.25" customHeight="1" x14ac:dyDescent="0.2">
      <c r="A275" s="57" t="s">
        <v>793</v>
      </c>
      <c r="B275" s="57">
        <f>VLOOKUP($A275,Questions!$A$3:$X$333,2,0)&amp;""</f>
      </c>
      <c r="C275" s="57">
        <f>VLOOKUP($A275,Questions!$A$3:$X$333,19,0)&amp;""</f>
      </c>
      <c r="D275" s="57">
        <f>VLOOKUP($A275,Questions!$A$3:$X$333,20,0)&amp;""</f>
      </c>
    </row>
    <row r="276" spans="1:5" s="57" customFormat="1" ht="18.75" customHeight="1" x14ac:dyDescent="0.2">
      <c r="A276" s="63">
        <f>VLOOKUP(LEFT($A277,4),'Auto Responses'!$N$4:$O$38,2,0)&amp;""</f>
        <v xml:space="preserve"> AI Data Security</v>
      </c>
      <c r="B276" s="63"/>
      <c r="C276" s="56" t="str">
        <f>Questions!$S$2</f>
      </c>
      <c r="D276" s="56">
        <f>Questions!$T$2</f>
      </c>
    </row>
    <row r="277" spans="1:5" s="57" customFormat="1" ht="75" x14ac:dyDescent="0.2">
      <c r="A277" s="57" t="s">
        <v>794</v>
      </c>
      <c r="B277" s="57">
        <f>VLOOKUP($A277,Questions!$A$3:$X$333,2,0)&amp;""</f>
      </c>
      <c r="C277" s="57">
        <f>VLOOKUP($A277,Questions!$A$3:$X$333,19,0)&amp;""</f>
      </c>
      <c r="D277" s="57">
        <f>VLOOKUP($A277,Questions!$A$3:$X$333,20,0)&amp;""</f>
      </c>
    </row>
    <row r="278" spans="1:5" ht="75" x14ac:dyDescent="0.2">
      <c r="A278" s="57" t="s">
        <v>795</v>
      </c>
      <c r="B278" s="57">
        <f>VLOOKUP($A278,Questions!$A$3:$X$333,2,0)&amp;""</f>
      </c>
      <c r="C278" s="57">
        <f>VLOOKUP($A278,Questions!$A$3:$X$333,19,0)&amp;""</f>
      </c>
      <c r="D278" s="57">
        <f>VLOOKUP($A278,Questions!$A$3:$X$333,20,0)&amp;""</f>
      </c>
    </row>
    <row r="279" spans="1:5" ht="60" x14ac:dyDescent="0.15">
      <c r="A279" s="57" t="s">
        <v>796</v>
      </c>
      <c r="B279" s="57">
        <f>VLOOKUP($A279,Questions!$A$3:$X$333,2,0)&amp;""</f>
      </c>
      <c r="C279" s="57">
        <f>VLOOKUP($A279,Questions!$A$3:$X$333,19,0)&amp;""</f>
      </c>
      <c r="D279" s="57">
        <f>VLOOKUP($A279,Questions!$A$3:$X$333,20,0)&amp;""</f>
      </c>
      <c r="E279" s="238" t="s">
        <v>1453</v>
      </c>
    </row>
    <row r="280" spans="1:5" ht="60" x14ac:dyDescent="0.2">
      <c r="A280" s="57" t="s">
        <v>797</v>
      </c>
      <c r="B280" s="57">
        <f>VLOOKUP($A280,Questions!$A$3:$X$333,2,0)&amp;""</f>
      </c>
      <c r="C280" s="57">
        <f>VLOOKUP($A280,Questions!$A$3:$X$333,19,0)&amp;""</f>
      </c>
      <c r="D280" s="57">
        <f>VLOOKUP($A280,Questions!$A$3:$X$333,20,0)&amp;""</f>
      </c>
    </row>
    <row r="281" spans="1:5" ht="75" x14ac:dyDescent="0.2">
      <c r="A281" s="57" t="s">
        <v>798</v>
      </c>
      <c r="B281" s="57">
        <f>VLOOKUP($A281,Questions!$A$3:$X$333,2,0)&amp;""</f>
      </c>
      <c r="C281" s="57">
        <f>VLOOKUP($A281,Questions!$A$3:$X$333,19,0)&amp;""</f>
      </c>
      <c r="D281" s="57">
        <f>VLOOKUP($A281,Questions!$A$3:$X$333,20,0)&amp;""</f>
      </c>
    </row>
    <row r="282" spans="1:5" ht="36.75" customHeight="1" x14ac:dyDescent="0.2">
      <c r="A282" s="63">
        <f>VLOOKUP(LEFT($A283,4),'Auto Responses'!$N$4:$O$38,2,0)&amp;""</f>
        <v xml:space="preserve"> AI Machine Learning</v>
      </c>
      <c r="B282" s="63"/>
      <c r="C282" s="56" t="str">
        <f>Questions!$S$2</f>
      </c>
      <c r="D282" s="56">
        <f>Questions!$T$2</f>
      </c>
    </row>
    <row r="283" spans="1:5" ht="105" x14ac:dyDescent="0.2">
      <c r="A283" s="57" t="s">
        <v>799</v>
      </c>
      <c r="B283" s="57">
        <f>VLOOKUP($A283,Questions!$A$3:$X$333,2,0)&amp;""</f>
      </c>
      <c r="C283" s="57">
        <f>VLOOKUP($A283,Questions!$A$3:$X$333,19,0)&amp;""</f>
      </c>
      <c r="D283" s="57">
        <f>VLOOKUP($A283,Questions!$A$3:$X$333,20,0)&amp;""</f>
      </c>
    </row>
    <row r="284" spans="1:5" ht="30" x14ac:dyDescent="0.2">
      <c r="A284" s="57" t="s">
        <v>800</v>
      </c>
      <c r="B284" s="57">
        <f>VLOOKUP($A284,Questions!$A$3:$X$333,2,0)&amp;""</f>
      </c>
      <c r="C284" s="57">
        <f>VLOOKUP($A284,Questions!$A$3:$X$333,19,0)&amp;""</f>
      </c>
      <c r="D284" s="57">
        <f>VLOOKUP($A284,Questions!$A$3:$X$333,20,0)&amp;""</f>
      </c>
    </row>
    <row r="285" spans="1:5" ht="30" x14ac:dyDescent="0.2">
      <c r="A285" s="57" t="s">
        <v>801</v>
      </c>
      <c r="B285" s="57">
        <f>VLOOKUP($A285,Questions!$A$3:$X$333,2,0)&amp;""</f>
      </c>
      <c r="C285" s="57">
        <f>VLOOKUP($A285,Questions!$A$3:$X$333,19,0)&amp;""</f>
      </c>
      <c r="D285" s="57">
        <f>VLOOKUP($A285,Questions!$A$3:$X$333,20,0)&amp;""</f>
      </c>
    </row>
    <row r="286" spans="1:5" ht="60" x14ac:dyDescent="0.2">
      <c r="A286" s="57" t="s">
        <v>803</v>
      </c>
      <c r="B286" s="57">
        <f>VLOOKUP($A286,Questions!$A$3:$X$333,2,0)&amp;""</f>
      </c>
      <c r="C286" s="57">
        <f>VLOOKUP($A286,Questions!$A$3:$X$333,19,0)&amp;""</f>
      </c>
      <c r="D286" s="57">
        <f>VLOOKUP($A286,Questions!$A$3:$X$333,20,0)&amp;""</f>
      </c>
    </row>
    <row r="287" spans="1:5" ht="30" x14ac:dyDescent="0.2">
      <c r="A287" s="57" t="s">
        <v>805</v>
      </c>
      <c r="B287" s="57">
        <f>VLOOKUP($A287,Questions!$A$3:$X$333,2,0)&amp;""</f>
      </c>
      <c r="C287" s="57">
        <f>VLOOKUP($A287,Questions!$A$3:$X$333,19,0)&amp;""</f>
      </c>
      <c r="D287" s="57">
        <f>VLOOKUP($A287,Questions!$A$3:$X$333,20,0)&amp;""</f>
      </c>
    </row>
    <row r="288" spans="1:5" ht="36" customHeight="1" x14ac:dyDescent="0.2">
      <c r="A288" s="57" t="s">
        <v>806</v>
      </c>
      <c r="B288" s="57">
        <f>VLOOKUP($A288,Questions!$A$3:$X$333,2,0)&amp;""</f>
      </c>
      <c r="C288" s="57">
        <f>VLOOKUP($A288,Questions!$A$3:$X$333,19,0)&amp;""</f>
      </c>
      <c r="D288" s="57">
        <f>VLOOKUP($A288,Questions!$A$3:$X$333,20,0)&amp;""</f>
      </c>
    </row>
    <row r="289" spans="1:5" ht="58.5" customHeight="1" x14ac:dyDescent="0.2">
      <c r="A289" s="57" t="s">
        <v>807</v>
      </c>
      <c r="B289" s="57">
        <f>VLOOKUP($A289,Questions!$A$3:$X$333,2,0)&amp;""</f>
      </c>
      <c r="C289" s="57">
        <f>VLOOKUP($A289,Questions!$A$3:$X$333,19,0)&amp;""</f>
      </c>
      <c r="D289" s="57">
        <f>VLOOKUP($A289,Questions!$A$3:$X$333,20,0)&amp;""</f>
      </c>
    </row>
    <row r="290" spans="1:5" ht="48" customHeight="1" x14ac:dyDescent="0.2">
      <c r="A290" s="57" t="s">
        <v>809</v>
      </c>
      <c r="B290" s="57">
        <f>VLOOKUP($A290,Questions!$A$3:$X$333,2,0)&amp;""</f>
      </c>
      <c r="C290" s="57">
        <f>VLOOKUP($A290,Questions!$A$3:$X$333,19,0)&amp;""</f>
      </c>
      <c r="D290" s="57">
        <f>VLOOKUP($A290,Questions!$A$3:$X$333,20,0)&amp;""</f>
      </c>
    </row>
    <row r="291" spans="1:5" ht="39" customHeight="1" x14ac:dyDescent="0.2">
      <c r="A291" s="63">
        <f>VLOOKUP(LEFT($A292,4),'Auto Responses'!$N$4:$O$38,2,0)&amp;""</f>
        <v xml:space="preserve"> AI Large Language Model (LLM)</v>
      </c>
      <c r="B291" s="63"/>
      <c r="C291" s="56" t="str">
        <f>Questions!$S$2</f>
      </c>
      <c r="D291" s="56">
        <f>Questions!$T$2</f>
      </c>
    </row>
    <row r="292" spans="1:5" ht="40.5" customHeight="1" x14ac:dyDescent="0.2">
      <c r="A292" s="57" t="s">
        <v>810</v>
      </c>
      <c r="B292" s="57">
        <f>VLOOKUP($A292,Questions!$A$3:$X$333,2,0)&amp;""</f>
      </c>
      <c r="C292" s="57">
        <f>VLOOKUP($A292,Questions!$A$3:$X$333,19,0)&amp;""</f>
      </c>
      <c r="D292" s="57">
        <f>VLOOKUP($A292,Questions!$A$3:$X$333,20,0)&amp;""</f>
      </c>
    </row>
    <row r="293" spans="1:5" ht="54" customHeight="1" x14ac:dyDescent="0.15">
      <c r="A293" s="57" t="s">
        <v>811</v>
      </c>
      <c r="B293" s="57">
        <f>VLOOKUP($A293,Questions!$A$3:$X$333,2,0)&amp;""</f>
      </c>
      <c r="C293" s="57">
        <f>VLOOKUP($A293,Questions!$A$3:$X$333,19,0)&amp;""</f>
      </c>
      <c r="D293" s="57">
        <f>VLOOKUP($A293,Questions!$A$3:$X$333,20,0)&amp;""</f>
      </c>
      <c r="E293" s="238" t="s">
        <v>1453</v>
      </c>
    </row>
    <row r="294" spans="1:5" ht="63.75" customHeight="1" x14ac:dyDescent="0.2">
      <c r="A294" s="57" t="s">
        <v>812</v>
      </c>
      <c r="B294" s="57">
        <f>VLOOKUP($A294,Questions!$A$3:$X$333,2,0)&amp;""</f>
      </c>
      <c r="C294" s="57">
        <f>VLOOKUP($A294,Questions!$A$3:$X$333,19,0)&amp;""</f>
      </c>
      <c r="D294" s="57">
        <f>VLOOKUP($A294,Questions!$A$3:$X$333,20,0)&amp;""</f>
      </c>
    </row>
    <row r="295" spans="1:5" ht="52.5" customHeight="1" x14ac:dyDescent="0.2">
      <c r="A295" s="57" t="s">
        <v>813</v>
      </c>
      <c r="B295" s="57">
        <f>VLOOKUP($A295,Questions!$A$3:$X$333,2,0)&amp;""</f>
      </c>
      <c r="C295" s="57">
        <f>VLOOKUP($A295,Questions!$A$3:$X$333,19,0)&amp;""</f>
      </c>
      <c r="D295" s="57">
        <f>VLOOKUP($A295,Questions!$A$3:$X$333,20,0)&amp;""</f>
      </c>
    </row>
    <row r="296" spans="1:5" ht="78" customHeight="1" x14ac:dyDescent="0.2">
      <c r="A296" s="57" t="s">
        <v>814</v>
      </c>
      <c r="B296" s="57">
        <f>VLOOKUP($A296,Questions!$A$3:$X$333,2,0)&amp;""</f>
      </c>
      <c r="C296" s="57">
        <f>VLOOKUP($A296,Questions!$A$3:$X$333,19,0)&amp;""</f>
      </c>
      <c r="D296" s="57">
        <f>VLOOKUP($A296,Questions!$A$3:$X$333,20,0)&amp;""</f>
      </c>
    </row>
    <row r="297" spans="1:5" ht="62.25" customHeight="1" x14ac:dyDescent="0.2">
      <c r="A297" s="57" t="s">
        <v>815</v>
      </c>
      <c r="B297" s="57">
        <f>VLOOKUP($A297,Questions!$A$3:$X$333,2,0)&amp;""</f>
      </c>
      <c r="C297" s="57">
        <f>VLOOKUP($A297,Questions!$A$3:$X$333,19,0)&amp;""</f>
      </c>
      <c r="D297" s="57">
        <f>VLOOKUP($A297,Questions!$A$3:$X$333,20,0)&amp;""</f>
      </c>
    </row>
    <row r="298" spans="1:5" ht="41.25" customHeight="1" x14ac:dyDescent="0.2">
      <c r="A298" s="57" t="s">
        <v>759</v>
      </c>
      <c r="B298" s="57">
        <f>VLOOKUP($A298,Questions!$A$3:$X$333,2,0)&amp;""</f>
      </c>
      <c r="C298" s="57">
        <f>VLOOKUP($A298,Questions!$A$3:$X$333,19,0)&amp;""</f>
      </c>
      <c r="D298" s="57">
        <f>VLOOKUP($A298,Questions!$A$3:$X$333,20,0)&amp;""</f>
      </c>
    </row>
    <row r="299" spans="1:5" ht="34.5" customHeight="1" x14ac:dyDescent="0.15">
      <c r="A299" s="57" t="s">
        <v>762</v>
      </c>
      <c r="B299" s="57">
        <f>VLOOKUP($A299,Questions!$A$3:$X$333,2,0)&amp;""</f>
      </c>
      <c r="C299" s="57">
        <f>VLOOKUP($A299,Questions!$A$3:$X$333,19,0)&amp;""</f>
      </c>
      <c r="D299" s="57">
        <f>VLOOKUP($A299,Questions!$A$3:$X$333,20,0)&amp;""</f>
      </c>
      <c r="E299" s="238" t="s">
        <v>1453</v>
      </c>
    </row>
    <row r="300" spans="1:5" ht="19" x14ac:dyDescent="0.2">
      <c r="A300" s="63">
        <f>VLOOKUP(LEFT($A301,4),'Auto Responses'!$N$4:$O$38,2,0)&amp;""</f>
        <v xml:space="preserve"> General Privacy</v>
      </c>
      <c r="B300" s="63"/>
      <c r="C300" s="56" t="str">
        <f>Questions!$S$2</f>
      </c>
      <c r="D300" s="56">
        <f>Questions!$T$2</f>
      </c>
    </row>
    <row r="301" spans="1:5" ht="30" x14ac:dyDescent="0.2">
      <c r="A301" s="57" t="s">
        <v>857</v>
      </c>
      <c r="B301" s="57">
        <f>VLOOKUP($A301,Questions!$A$3:$X$333,2,0)&amp;""</f>
      </c>
      <c r="C301" s="57">
        <f>VLOOKUP($A301,Questions!$A$3:$X$333,19,0)&amp;""</f>
      </c>
      <c r="D301" s="57">
        <f>VLOOKUP($A301,Questions!$A$3:$X$333,20,0)&amp;""</f>
      </c>
    </row>
    <row r="302" spans="1:5" ht="30" x14ac:dyDescent="0.2">
      <c r="A302" s="57" t="s">
        <v>858</v>
      </c>
      <c r="B302" s="57">
        <f>VLOOKUP($A302,Questions!$A$3:$X$333,2,0)&amp;""</f>
      </c>
      <c r="C302" s="57">
        <f>VLOOKUP($A302,Questions!$A$3:$X$333,19,0)&amp;""</f>
      </c>
      <c r="D302" s="57">
        <f>VLOOKUP($A302,Questions!$A$3:$X$333,20,0)&amp;""</f>
      </c>
    </row>
    <row r="303" spans="1:5" ht="30" x14ac:dyDescent="0.2">
      <c r="A303" s="57" t="s">
        <v>859</v>
      </c>
      <c r="B303" s="57">
        <f>VLOOKUP($A303,Questions!$A$3:$X$333,2,0)&amp;""</f>
      </c>
      <c r="C303" s="57">
        <f>VLOOKUP($A303,Questions!$A$3:$X$333,19,0)&amp;""</f>
      </c>
      <c r="D303" s="57">
        <f>VLOOKUP($A303,Questions!$A$3:$X$333,20,0)&amp;""</f>
      </c>
    </row>
    <row r="304" spans="1:5" ht="30" x14ac:dyDescent="0.2">
      <c r="A304" s="57" t="s">
        <v>860</v>
      </c>
      <c r="B304" s="57">
        <f>VLOOKUP($A304,Questions!$A$3:$X$333,2,0)&amp;""</f>
      </c>
      <c r="C304" s="57">
        <f>VLOOKUP($A304,Questions!$A$3:$X$333,19,0)&amp;""</f>
      </c>
      <c r="D304" s="57">
        <f>VLOOKUP($A304,Questions!$A$3:$X$333,20,0)&amp;""</f>
      </c>
    </row>
    <row r="305" spans="1:5" ht="43.5" customHeight="1" x14ac:dyDescent="0.2">
      <c r="A305" s="57" t="s">
        <v>861</v>
      </c>
      <c r="B305" s="57">
        <f>VLOOKUP($A305,Questions!$A$3:$X$333,2,0)&amp;""</f>
      </c>
      <c r="C305" s="57">
        <f>VLOOKUP($A305,Questions!$A$3:$X$333,19,0)&amp;""</f>
      </c>
      <c r="D305" s="57">
        <f>VLOOKUP($A305,Questions!$A$3:$X$333,20,0)&amp;""</f>
      </c>
    </row>
    <row r="306" spans="1:5" ht="19" x14ac:dyDescent="0.2">
      <c r="A306" s="63">
        <f>VLOOKUP(LEFT($A307,4),'Auto Responses'!$N$4:$O$38,2,0)&amp;""</f>
        <v xml:space="preserve"> Privacy-Specific Company Details</v>
      </c>
      <c r="B306" s="63"/>
      <c r="C306" s="56" t="str">
        <f>Questions!$S$2</f>
      </c>
      <c r="D306" s="56">
        <f>Questions!$T$2</f>
      </c>
    </row>
    <row r="307" spans="1:5" ht="58.5" customHeight="1" x14ac:dyDescent="0.2">
      <c r="A307" s="57" t="s">
        <v>697</v>
      </c>
      <c r="B307" s="57">
        <f>VLOOKUP($A307,Questions!$A$3:$X$333,2,0)&amp;""</f>
      </c>
      <c r="C307" s="57">
        <f>VLOOKUP($A307,Questions!$A$3:$X$333,19,0)&amp;""</f>
      </c>
      <c r="D307" s="57">
        <f>VLOOKUP($A307,Questions!$A$3:$X$333,20,0)&amp;""</f>
      </c>
    </row>
    <row r="308" spans="1:5" ht="39.75" customHeight="1" x14ac:dyDescent="0.2">
      <c r="A308" s="57" t="s">
        <v>699</v>
      </c>
      <c r="B308" s="57">
        <f>VLOOKUP($A308,Questions!$A$3:$X$333,2,0)&amp;""</f>
      </c>
      <c r="C308" s="57">
        <f>VLOOKUP($A308,Questions!$A$3:$X$333,19,0)&amp;""</f>
      </c>
      <c r="D308" s="57">
        <f>VLOOKUP($A308,Questions!$A$3:$X$333,20,0)&amp;""</f>
      </c>
    </row>
    <row r="309" spans="1:5" ht="36.75" customHeight="1" x14ac:dyDescent="0.2">
      <c r="A309" s="57" t="s">
        <v>700</v>
      </c>
      <c r="B309" s="57">
        <f>VLOOKUP($A309,Questions!$A$3:$X$333,2,0)&amp;""</f>
      </c>
      <c r="C309" s="57">
        <f>VLOOKUP($A309,Questions!$A$3:$X$333,19,0)&amp;""</f>
      </c>
      <c r="D309" s="57">
        <f>VLOOKUP($A309,Questions!$A$3:$X$333,20,0)&amp;""</f>
      </c>
    </row>
    <row r="310" spans="1:5" ht="40.5" customHeight="1" x14ac:dyDescent="0.2">
      <c r="A310" s="57" t="s">
        <v>701</v>
      </c>
      <c r="B310" s="57">
        <f>VLOOKUP($A310,Questions!$A$3:$X$333,2,0)&amp;""</f>
      </c>
      <c r="C310" s="57">
        <f>VLOOKUP($A310,Questions!$A$3:$X$333,19,0)&amp;""</f>
      </c>
      <c r="D310" s="57">
        <f>VLOOKUP($A310,Questions!$A$3:$X$333,20,0)&amp;""</f>
      </c>
    </row>
    <row r="311" spans="1:5" ht="35.25" customHeight="1" x14ac:dyDescent="0.2">
      <c r="A311" s="63">
        <f>VLOOKUP(LEFT($A312,4),'Auto Responses'!$N$4:$O$38,2,0)&amp;""</f>
        <v xml:space="preserve"> Privacy-Specific Documentation</v>
      </c>
      <c r="B311" s="63"/>
      <c r="C311" s="56" t="str">
        <f>Questions!$S$2</f>
      </c>
      <c r="D311" s="56">
        <f>Questions!$T$2</f>
      </c>
    </row>
    <row r="312" spans="1:5" ht="33.75" customHeight="1" x14ac:dyDescent="0.2">
      <c r="A312" s="57" t="s">
        <v>702</v>
      </c>
      <c r="B312" s="57">
        <f>VLOOKUP($A312,Questions!$A$3:$X$333,2,0)&amp;""</f>
      </c>
      <c r="C312" s="57">
        <f>VLOOKUP($A312,Questions!$A$3:$X$333,19,0)&amp;""</f>
      </c>
      <c r="D312" s="57">
        <f>VLOOKUP($A312,Questions!$A$3:$X$333,20,0)&amp;""</f>
      </c>
    </row>
    <row r="313" spans="1:5" ht="78" customHeight="1" x14ac:dyDescent="0.2">
      <c r="A313" s="57" t="s">
        <v>703</v>
      </c>
      <c r="B313" s="57">
        <f>VLOOKUP($A313,Questions!$A$3:$X$333,2,0)&amp;""</f>
      </c>
      <c r="C313" s="57">
        <f>VLOOKUP($A313,Questions!$A$3:$X$333,19,0)&amp;""</f>
      </c>
      <c r="D313" s="57">
        <f>VLOOKUP($A313,Questions!$A$3:$X$333,20,0)&amp;""</f>
      </c>
    </row>
    <row r="314" spans="1:5" ht="98.25" customHeight="1" x14ac:dyDescent="0.2">
      <c r="A314" s="57" t="s">
        <v>704</v>
      </c>
      <c r="B314" s="57">
        <f>VLOOKUP($A314,Questions!$A$3:$X$333,2,0)&amp;""</f>
      </c>
      <c r="C314" s="57">
        <f>VLOOKUP($A314,Questions!$A$3:$X$333,19,0)&amp;""</f>
      </c>
      <c r="D314" s="57">
        <f>VLOOKUP($A314,Questions!$A$3:$X$333,20,0)&amp;""</f>
      </c>
    </row>
    <row r="315" spans="1:5" ht="21" customHeight="1" x14ac:dyDescent="0.15">
      <c r="A315" s="63">
        <f>VLOOKUP(LEFT($A316,4),'Auto Responses'!$N$4:$O$38,2,0)&amp;""</f>
        <v xml:space="preserve"> Privacy of Third Parties</v>
      </c>
      <c r="B315" s="63"/>
      <c r="C315" s="56" t="str">
        <f>Questions!$S$2</f>
      </c>
      <c r="D315" s="56">
        <f>Questions!$T$2</f>
      </c>
      <c r="E315" s="238" t="s">
        <v>1453</v>
      </c>
    </row>
    <row r="316" spans="1:5" ht="45" x14ac:dyDescent="0.2">
      <c r="A316" s="57" t="s">
        <v>706</v>
      </c>
      <c r="B316" s="57">
        <f>VLOOKUP($A316,Questions!$A$3:$X$333,2,0)&amp;""</f>
      </c>
      <c r="C316" s="57">
        <f>VLOOKUP($A316,Questions!$A$3:$X$333,19,0)&amp;""</f>
      </c>
      <c r="D316" s="57">
        <f>VLOOKUP($A316,Questions!$A$3:$X$333,20,0)&amp;""</f>
      </c>
    </row>
    <row r="317" spans="1:5" ht="129.75" customHeight="1" x14ac:dyDescent="0.2">
      <c r="A317" s="57" t="s">
        <v>708</v>
      </c>
      <c r="B317" s="57">
        <f>VLOOKUP($A317,Questions!$A$3:$X$333,2,0)&amp;""</f>
      </c>
      <c r="C317" s="57">
        <f>VLOOKUP($A317,Questions!$A$3:$X$333,19,0)&amp;""</f>
      </c>
      <c r="D317" s="57">
        <f>VLOOKUP($A317,Questions!$A$3:$X$333,20,0)&amp;""</f>
      </c>
    </row>
    <row r="318" spans="1:5" ht="19" x14ac:dyDescent="0.2">
      <c r="A318" s="63">
        <f>VLOOKUP(LEFT($A319,4),'Auto Responses'!$N$4:$O$38,2,0)&amp;""</f>
        <v xml:space="preserve"> Privacy Change Management</v>
      </c>
      <c r="B318" s="63"/>
      <c r="C318" s="56" t="str">
        <f>Questions!$S$2</f>
      </c>
      <c r="D318" s="56">
        <f>Questions!$T$2</f>
      </c>
    </row>
    <row r="319" spans="1:5" ht="43" customHeight="1" x14ac:dyDescent="0.2">
      <c r="A319" s="57" t="s">
        <v>709</v>
      </c>
      <c r="B319" s="57">
        <f>VLOOKUP($A319,Questions!$A$3:$X$333,2,0)&amp;""</f>
      </c>
      <c r="C319" s="57">
        <f>VLOOKUP($A319,Questions!$A$3:$X$333,19,0)&amp;""</f>
      </c>
      <c r="D319" s="57">
        <f>VLOOKUP($A319,Questions!$A$3:$X$333,20,0)&amp;""</f>
      </c>
    </row>
    <row r="320" spans="1:5" ht="43" customHeight="1" x14ac:dyDescent="0.2">
      <c r="A320" s="57" t="s">
        <v>711</v>
      </c>
      <c r="B320" s="57">
        <f>VLOOKUP($A320,Questions!$A$3:$X$333,2,0)&amp;""</f>
      </c>
      <c r="C320" s="57">
        <f>VLOOKUP($A320,Questions!$A$3:$X$333,19,0)&amp;""</f>
      </c>
      <c r="D320" s="57">
        <f>VLOOKUP($A320,Questions!$A$3:$X$333,20,0)&amp;""</f>
      </c>
    </row>
    <row r="321" spans="1:5" ht="19" x14ac:dyDescent="0.2">
      <c r="A321" s="63">
        <f>VLOOKUP(LEFT($A322,4),'Auto Responses'!$N$4:$O$38,2,0)&amp;""</f>
        <v xml:space="preserve"> Privacy of Sensitive Data</v>
      </c>
      <c r="B321" s="63"/>
      <c r="C321" s="56" t="str">
        <f>Questions!$S$2</f>
      </c>
      <c r="D321" s="56">
        <f>Questions!$T$2</f>
      </c>
    </row>
    <row r="322" spans="1:5" ht="43" customHeight="1" x14ac:dyDescent="0.2">
      <c r="A322" s="57" t="s">
        <v>713</v>
      </c>
      <c r="B322" s="57">
        <f>VLOOKUP($A322,Questions!$A$3:$X$333,2,0)&amp;""</f>
      </c>
      <c r="C322" s="57">
        <f>VLOOKUP($A322,Questions!$A$3:$X$333,19,0)&amp;""</f>
      </c>
      <c r="D322" s="57">
        <f>VLOOKUP($A322,Questions!$A$3:$X$333,20,0)&amp;""</f>
      </c>
    </row>
    <row r="323" spans="1:5" ht="43" customHeight="1" x14ac:dyDescent="0.2">
      <c r="A323" s="57" t="s">
        <v>715</v>
      </c>
      <c r="B323" s="57">
        <f>VLOOKUP($A323,Questions!$A$3:$X$333,2,0)&amp;""</f>
      </c>
      <c r="C323" s="57">
        <f>VLOOKUP($A323,Questions!$A$3:$X$333,19,0)&amp;""</f>
      </c>
      <c r="D323" s="57">
        <f>VLOOKUP($A323,Questions!$A$3:$X$333,20,0)&amp;""</f>
      </c>
    </row>
    <row r="324" spans="1:5" ht="43" customHeight="1" x14ac:dyDescent="0.2">
      <c r="A324" s="57" t="s">
        <v>717</v>
      </c>
      <c r="B324" s="57">
        <f>VLOOKUP($A324,Questions!$A$3:$X$333,2,0)&amp;""</f>
      </c>
      <c r="C324" s="57">
        <f>VLOOKUP($A324,Questions!$A$3:$X$333,19,0)&amp;""</f>
      </c>
      <c r="D324" s="57">
        <f>VLOOKUP($A324,Questions!$A$3:$X$333,20,0)&amp;""</f>
      </c>
    </row>
    <row r="325" spans="1:5" ht="43" customHeight="1" x14ac:dyDescent="0.2">
      <c r="A325" s="57" t="s">
        <v>718</v>
      </c>
      <c r="B325" s="57">
        <f>VLOOKUP($A325,Questions!$A$3:$X$333,2,0)&amp;""</f>
      </c>
      <c r="C325" s="57">
        <f>VLOOKUP($A325,Questions!$A$3:$X$333,19,0)&amp;""</f>
      </c>
      <c r="D325" s="57">
        <f>VLOOKUP($A325,Questions!$A$3:$X$333,20,0)&amp;""</f>
      </c>
    </row>
    <row r="326" spans="1:5" ht="43" customHeight="1" x14ac:dyDescent="0.2">
      <c r="A326" s="57" t="s">
        <v>719</v>
      </c>
      <c r="B326" s="57">
        <f>VLOOKUP($A326,Questions!$A$3:$X$333,2,0)&amp;""</f>
      </c>
      <c r="C326" s="57">
        <f>VLOOKUP($A326,Questions!$A$3:$X$333,19,0)&amp;""</f>
      </c>
      <c r="D326" s="57">
        <f>VLOOKUP($A326,Questions!$A$3:$X$333,20,0)&amp;""</f>
      </c>
    </row>
    <row r="327" spans="1:5" ht="43" customHeight="1" x14ac:dyDescent="0.15">
      <c r="A327" s="57" t="s">
        <v>720</v>
      </c>
      <c r="B327" s="57">
        <f>VLOOKUP($A327,Questions!$A$3:$X$333,2,0)&amp;""</f>
      </c>
      <c r="C327" s="57">
        <f>VLOOKUP($A327,Questions!$A$3:$X$333,19,0)&amp;""</f>
      </c>
      <c r="D327" s="57">
        <f>VLOOKUP($A327,Questions!$A$3:$X$333,20,0)&amp;""</f>
      </c>
      <c r="E327" s="238" t="s">
        <v>1453</v>
      </c>
    </row>
    <row r="328" spans="1:5" ht="43" customHeight="1" x14ac:dyDescent="0.2">
      <c r="A328" s="57" t="s">
        <v>721</v>
      </c>
      <c r="B328" s="57">
        <f>VLOOKUP($A328,Questions!$A$3:$X$333,2,0)&amp;""</f>
      </c>
      <c r="C328" s="57">
        <f>VLOOKUP($A328,Questions!$A$3:$X$333,19,0)&amp;""</f>
      </c>
      <c r="D328" s="57">
        <f>VLOOKUP($A328,Questions!$A$3:$X$333,20,0)&amp;""</f>
      </c>
    </row>
    <row r="329" spans="1:5" ht="43" customHeight="1" x14ac:dyDescent="0.2">
      <c r="A329" s="57" t="s">
        <v>723</v>
      </c>
      <c r="B329" s="57">
        <f>VLOOKUP($A329,Questions!$A$3:$X$333,2,0)&amp;""</f>
      </c>
      <c r="C329" s="57">
        <f>VLOOKUP($A329,Questions!$A$3:$X$333,19,0)&amp;""</f>
      </c>
      <c r="D329" s="57">
        <f>VLOOKUP($A329,Questions!$A$3:$X$333,20,0)&amp;""</f>
      </c>
    </row>
    <row r="330" spans="1:5" ht="43" customHeight="1" x14ac:dyDescent="0.2">
      <c r="A330" s="63">
        <f>VLOOKUP(LEFT($A331,4),'Auto Responses'!$N$4:$O$38,2,0)&amp;""</f>
        <v xml:space="preserve"> Privacy Policies and Procedures</v>
      </c>
      <c r="B330" s="63"/>
      <c r="C330" s="56" t="str">
        <f>Questions!$S$2</f>
      </c>
      <c r="D330" s="56">
        <f>Questions!$T$2</f>
      </c>
    </row>
    <row r="331" spans="1:5" ht="43" customHeight="1" x14ac:dyDescent="0.2">
      <c r="A331" s="57" t="s">
        <v>724</v>
      </c>
      <c r="B331" s="57">
        <f>VLOOKUP($A331,Questions!$A$3:$X$333,2,0)&amp;""</f>
      </c>
      <c r="C331" s="57">
        <f>VLOOKUP($A331,Questions!$A$3:$X$333,19,0)&amp;""</f>
      </c>
      <c r="D331" s="57">
        <f>VLOOKUP($A331,Questions!$A$3:$X$333,20,0)&amp;""</f>
      </c>
    </row>
    <row r="332" spans="1:5" ht="43" customHeight="1" x14ac:dyDescent="0.2">
      <c r="A332" s="57" t="s">
        <v>727</v>
      </c>
      <c r="B332" s="57">
        <f>VLOOKUP($A332,Questions!$A$3:$X$333,2,0)&amp;""</f>
      </c>
      <c r="C332" s="57">
        <f>VLOOKUP($A332,Questions!$A$3:$X$333,19,0)&amp;""</f>
      </c>
      <c r="D332" s="57">
        <f>VLOOKUP($A332,Questions!$A$3:$X$333,20,0)&amp;""</f>
      </c>
    </row>
    <row r="333" spans="1:5" ht="43" customHeight="1" x14ac:dyDescent="0.15">
      <c r="A333" s="57" t="s">
        <v>730</v>
      </c>
      <c r="B333" s="57">
        <f>VLOOKUP($A333,Questions!$A$3:$X$333,2,0)&amp;""</f>
      </c>
      <c r="C333" s="57">
        <f>VLOOKUP($A333,Questions!$A$3:$X$333,19,0)&amp;""</f>
      </c>
      <c r="D333" s="57">
        <f>VLOOKUP($A333,Questions!$A$3:$X$333,20,0)&amp;""</f>
      </c>
      <c r="E333" s="238" t="s">
        <v>1453</v>
      </c>
    </row>
    <row r="334" spans="1:5" ht="43" customHeight="1" x14ac:dyDescent="0.2">
      <c r="A334" s="57" t="s">
        <v>732</v>
      </c>
      <c r="B334" s="57">
        <f>VLOOKUP($A334,Questions!$A$3:$X$333,2,0)&amp;""</f>
      </c>
      <c r="C334" s="57">
        <f>VLOOKUP($A334,Questions!$A$3:$X$333,19,0)&amp;""</f>
      </c>
      <c r="D334" s="57">
        <f>VLOOKUP($A334,Questions!$A$3:$X$333,20,0)&amp;""</f>
      </c>
    </row>
    <row r="335" spans="1:5" ht="65.25" customHeight="1" x14ac:dyDescent="0.2">
      <c r="A335" s="57" t="s">
        <v>734</v>
      </c>
      <c r="B335" s="57">
        <f>VLOOKUP($A335,Questions!$A$3:$X$333,2,0)&amp;""</f>
      </c>
      <c r="C335" s="57">
        <f>VLOOKUP($A335,Questions!$A$3:$X$333,19,0)&amp;""</f>
      </c>
      <c r="D335" s="57">
        <f>VLOOKUP($A335,Questions!$A$3:$X$333,20,0)&amp;""</f>
      </c>
    </row>
    <row r="336" spans="1:5" ht="60" x14ac:dyDescent="0.2">
      <c r="A336" s="57" t="s">
        <v>736</v>
      </c>
      <c r="B336" s="57">
        <f>VLOOKUP($A336,Questions!$A$3:$X$333,2,0)&amp;""</f>
      </c>
      <c r="C336" s="57">
        <f>VLOOKUP($A336,Questions!$A$3:$X$333,19,0)&amp;""</f>
      </c>
      <c r="D336" s="57">
        <f>VLOOKUP($A336,Questions!$A$3:$X$333,20,0)&amp;""</f>
      </c>
    </row>
    <row r="337" spans="1:5" ht="43" customHeight="1" x14ac:dyDescent="0.2">
      <c r="A337" s="57" t="s">
        <v>737</v>
      </c>
      <c r="B337" s="57">
        <f>VLOOKUP($A337,Questions!$A$3:$X$333,2,0)&amp;""</f>
      </c>
      <c r="C337" s="57">
        <f>VLOOKUP($A337,Questions!$A$3:$X$333,19,0)&amp;""</f>
      </c>
      <c r="D337" s="57">
        <f>VLOOKUP($A337,Questions!$A$3:$X$333,20,0)&amp;""</f>
      </c>
    </row>
    <row r="338" spans="1:5" ht="43" customHeight="1" x14ac:dyDescent="0.2">
      <c r="A338" s="57" t="s">
        <v>740</v>
      </c>
      <c r="B338" s="57">
        <f>VLOOKUP($A338,Questions!$A$3:$X$333,2,0)&amp;""</f>
      </c>
      <c r="C338" s="57">
        <f>VLOOKUP($A338,Questions!$A$3:$X$333,19,0)&amp;""</f>
      </c>
      <c r="D338" s="57">
        <f>VLOOKUP($A338,Questions!$A$3:$X$333,20,0)&amp;""</f>
      </c>
    </row>
    <row r="339" spans="1:5" ht="70.5" customHeight="1" x14ac:dyDescent="0.15">
      <c r="A339" s="57" t="s">
        <v>743</v>
      </c>
      <c r="B339" s="57">
        <f>VLOOKUP($A339,Questions!$A$3:$X$333,2,0)&amp;""</f>
      </c>
      <c r="C339" s="57">
        <f>VLOOKUP($A339,Questions!$A$3:$X$333,19,0)&amp;""</f>
      </c>
      <c r="D339" s="57">
        <f>VLOOKUP($A339,Questions!$A$3:$X$333,20,0)&amp;""</f>
      </c>
      <c r="E339" s="238" t="s">
        <v>1453</v>
      </c>
    </row>
    <row r="340" spans="1:5" ht="60" x14ac:dyDescent="0.2">
      <c r="A340" s="57" t="s">
        <v>744</v>
      </c>
      <c r="B340" s="57">
        <f>VLOOKUP($A340,Questions!$A$3:$X$333,2,0)&amp;""</f>
      </c>
      <c r="C340" s="57">
        <f>VLOOKUP($A340,Questions!$A$3:$X$333,19,0)&amp;""</f>
      </c>
      <c r="D340" s="57">
        <f>VLOOKUP($A340,Questions!$A$3:$X$333,20,0)&amp;""</f>
      </c>
    </row>
    <row r="341" spans="1:5" ht="43" customHeight="1" x14ac:dyDescent="0.2">
      <c r="A341" s="57" t="s">
        <v>746</v>
      </c>
      <c r="B341" s="57">
        <f>VLOOKUP($A341,Questions!$A$3:$X$333,2,0)&amp;""</f>
      </c>
      <c r="C341" s="57">
        <f>VLOOKUP($A341,Questions!$A$3:$X$333,19,0)&amp;""</f>
      </c>
      <c r="D341" s="57">
        <f>VLOOKUP($A341,Questions!$A$3:$X$333,20,0)&amp;""</f>
      </c>
    </row>
    <row r="342" spans="1:5" ht="43" customHeight="1" x14ac:dyDescent="0.2">
      <c r="A342" s="57" t="s">
        <v>749</v>
      </c>
      <c r="B342" s="57">
        <f>VLOOKUP($A342,Questions!$A$3:$X$333,2,0)&amp;""</f>
      </c>
      <c r="C342" s="57">
        <f>VLOOKUP($A342,Questions!$A$3:$X$333,19,0)&amp;""</f>
      </c>
      <c r="D342" s="57">
        <f>VLOOKUP($A342,Questions!$A$3:$X$333,20,0)&amp;""</f>
      </c>
    </row>
    <row r="343" spans="1:5" ht="43" customHeight="1" x14ac:dyDescent="0.2">
      <c r="A343" s="57" t="s">
        <v>750</v>
      </c>
      <c r="B343" s="57">
        <f>VLOOKUP($A343,Questions!$A$3:$X$333,2,0)&amp;""</f>
      </c>
      <c r="C343" s="57">
        <f>VLOOKUP($A343,Questions!$A$3:$X$333,19,0)&amp;""</f>
      </c>
      <c r="D343" s="57">
        <f>VLOOKUP($A343,Questions!$A$3:$X$333,20,0)&amp;""</f>
      </c>
    </row>
    <row r="344" spans="1:5" ht="43" customHeight="1" x14ac:dyDescent="0.2">
      <c r="A344" s="63">
        <f>VLOOKUP(LEFT($A345,4),'Auto Responses'!$N$4:$O$38,2,0)&amp;""</f>
        <v xml:space="preserve"> International Privacy</v>
      </c>
      <c r="B344" s="63"/>
      <c r="C344" s="56" t="str">
        <f>Questions!$S$2</f>
      </c>
      <c r="D344" s="56">
        <f>Questions!$T$2</f>
      </c>
    </row>
    <row r="345" spans="1:5" ht="43" customHeight="1" x14ac:dyDescent="0.15">
      <c r="A345" s="57" t="s">
        <v>752</v>
      </c>
      <c r="B345" s="57">
        <f>VLOOKUP($A345,Questions!$A$3:$X$333,2,0)&amp;""</f>
      </c>
      <c r="C345" s="57">
        <f>VLOOKUP($A345,Questions!$A$3:$X$333,19,0)&amp;""</f>
      </c>
      <c r="D345" s="57">
        <f>VLOOKUP($A345,Questions!$A$3:$X$333,20,0)&amp;""</f>
      </c>
      <c r="E345" s="238" t="s">
        <v>1453</v>
      </c>
    </row>
    <row r="346" spans="1:5" ht="43" customHeight="1" x14ac:dyDescent="0.2">
      <c r="A346" s="57" t="s">
        <v>755</v>
      </c>
      <c r="B346" s="57">
        <f>VLOOKUP($A346,Questions!$A$3:$X$333,2,0)&amp;""</f>
      </c>
      <c r="C346" s="57">
        <f>VLOOKUP($A346,Questions!$A$3:$X$333,19,0)&amp;""</f>
      </c>
      <c r="D346" s="57">
        <f>VLOOKUP($A346,Questions!$A$3:$X$333,20,0)&amp;""</f>
      </c>
    </row>
    <row r="347" spans="1:5" ht="43" customHeight="1" x14ac:dyDescent="0.2">
      <c r="A347" s="57" t="s">
        <v>757</v>
      </c>
      <c r="B347" s="57">
        <f>VLOOKUP($A347,Questions!$A$3:$X$333,2,0)&amp;""</f>
      </c>
      <c r="C347" s="57">
        <f>VLOOKUP($A347,Questions!$A$3:$X$333,19,0)&amp;""</f>
      </c>
      <c r="D347" s="57">
        <f>VLOOKUP($A347,Questions!$A$3:$X$333,20,0)&amp;""</f>
      </c>
    </row>
    <row r="348" spans="1:5" ht="43" customHeight="1" x14ac:dyDescent="0.2">
      <c r="A348" s="57" t="s">
        <v>759</v>
      </c>
      <c r="B348" s="57">
        <f>VLOOKUP($A348,Questions!$A$3:$X$333,2,0)&amp;""</f>
      </c>
      <c r="C348" s="57">
        <f>VLOOKUP($A348,Questions!$A$3:$X$333,19,0)&amp;""</f>
      </c>
      <c r="D348" s="57">
        <f>VLOOKUP($A348,Questions!$A$3:$X$333,20,0)&amp;""</f>
      </c>
    </row>
    <row r="349" spans="1:5" ht="43" customHeight="1" x14ac:dyDescent="0.2">
      <c r="A349" s="57" t="s">
        <v>762</v>
      </c>
      <c r="B349" s="57">
        <f>VLOOKUP($A349,Questions!$A$3:$X$333,2,0)&amp;""</f>
      </c>
      <c r="C349" s="57">
        <f>VLOOKUP($A349,Questions!$A$3:$X$333,19,0)&amp;""</f>
      </c>
      <c r="D349" s="57">
        <f>VLOOKUP($A349,Questions!$A$3:$X$333,20,0)&amp;""</f>
      </c>
    </row>
    <row r="350" spans="1:5" ht="43" customHeight="1" x14ac:dyDescent="0.2">
      <c r="A350" s="63">
        <f>VLOOKUP(LEFT($A351,4),'Auto Responses'!$N$4:$O$38,2,0)&amp;""</f>
        <v xml:space="preserve"> Data Privacy</v>
      </c>
      <c r="B350" s="63"/>
      <c r="C350" s="56" t="str">
        <f>Questions!$S$2</f>
      </c>
      <c r="D350" s="56">
        <f>Questions!$T$2</f>
      </c>
    </row>
    <row r="351" spans="1:5" ht="43" customHeight="1" x14ac:dyDescent="0.2">
      <c r="A351" s="57" t="s">
        <v>1034</v>
      </c>
      <c r="B351" s="57">
        <f>VLOOKUP($A351,Questions!$A$3:$X$333,2,0)&amp;""</f>
      </c>
      <c r="C351" s="57">
        <f>VLOOKUP($A351,Questions!$A$3:$X$333,19,0)&amp;""</f>
      </c>
      <c r="D351" s="57">
        <f>VLOOKUP($A351,Questions!$A$3:$X$333,20,0)&amp;""</f>
      </c>
    </row>
    <row r="352" spans="1:5" ht="43" customHeight="1" x14ac:dyDescent="0.2">
      <c r="A352" s="57" t="s">
        <v>1035</v>
      </c>
      <c r="B352" s="57">
        <f>VLOOKUP($A352,Questions!$A$3:$X$333,2,0)&amp;""</f>
      </c>
      <c r="C352" s="57">
        <f>VLOOKUP($A352,Questions!$A$3:$X$333,19,0)&amp;""</f>
      </c>
      <c r="D352" s="57">
        <f>VLOOKUP($A352,Questions!$A$3:$X$333,20,0)&amp;""</f>
      </c>
    </row>
    <row r="353" spans="1:5" ht="43" customHeight="1" x14ac:dyDescent="0.2">
      <c r="A353" s="57" t="s">
        <v>1036</v>
      </c>
      <c r="B353" s="57">
        <f>VLOOKUP($A353,Questions!$A$3:$X$333,2,0)&amp;""</f>
      </c>
      <c r="C353" s="57">
        <f>VLOOKUP($A353,Questions!$A$3:$X$333,19,0)&amp;""</f>
      </c>
      <c r="D353" s="57">
        <f>VLOOKUP($A353,Questions!$A$3:$X$333,20,0)&amp;""</f>
      </c>
    </row>
    <row r="354" spans="1:5" ht="43" customHeight="1" x14ac:dyDescent="0.15">
      <c r="A354" s="57" t="s">
        <v>1037</v>
      </c>
      <c r="B354" s="57">
        <f>VLOOKUP($A354,Questions!$A$3:$X$333,2,0)&amp;""</f>
      </c>
      <c r="C354" s="57">
        <f>VLOOKUP($A354,Questions!$A$3:$X$333,19,0)&amp;""</f>
      </c>
      <c r="D354" s="57">
        <f>VLOOKUP($A354,Questions!$A$3:$X$333,20,0)&amp;""</f>
      </c>
      <c r="E354" s="238" t="s">
        <v>1453</v>
      </c>
    </row>
    <row r="355" spans="1:5" ht="43" customHeight="1" x14ac:dyDescent="0.2">
      <c r="A355" s="57" t="s">
        <v>1038</v>
      </c>
      <c r="B355" s="57">
        <f>VLOOKUP($A355,Questions!$A$3:$X$333,2,0)&amp;""</f>
      </c>
      <c r="C355" s="57">
        <f>VLOOKUP($A355,Questions!$A$3:$X$333,19,0)&amp;""</f>
      </c>
      <c r="D355" s="57">
        <f>VLOOKUP($A355,Questions!$A$3:$X$333,20,0)&amp;""</f>
      </c>
    </row>
    <row r="356" spans="1:5" ht="43" customHeight="1" x14ac:dyDescent="0.2">
      <c r="A356" s="57" t="s">
        <v>1039</v>
      </c>
      <c r="B356" s="57">
        <f>VLOOKUP($A356,Questions!$A$3:$X$333,2,0)&amp;""</f>
      </c>
      <c r="C356" s="57">
        <f>VLOOKUP($A356,Questions!$A$3:$X$333,19,0)&amp;""</f>
      </c>
      <c r="D356" s="57">
        <f>VLOOKUP($A356,Questions!$A$3:$X$333,20,0)&amp;""</f>
      </c>
    </row>
    <row r="357" spans="1:5" ht="60" x14ac:dyDescent="0.2">
      <c r="A357" s="57" t="s">
        <v>1040</v>
      </c>
      <c r="B357" s="57">
        <f>VLOOKUP($A357,Questions!$A$3:$X$333,2,0)&amp;""</f>
      </c>
      <c r="C357" s="57">
        <f>VLOOKUP($A357,Questions!$A$3:$X$333,19,0)&amp;""</f>
      </c>
      <c r="D357" s="57">
        <f>VLOOKUP($A357,Questions!$A$3:$X$333,20,0)&amp;""</f>
      </c>
    </row>
    <row r="358" spans="1:5" ht="43" customHeight="1" x14ac:dyDescent="0.2">
      <c r="A358" s="57" t="s">
        <v>1041</v>
      </c>
      <c r="B358" s="57">
        <f>VLOOKUP($A358,Questions!$A$3:$X$333,2,0)&amp;""</f>
      </c>
      <c r="C358" s="57">
        <f>VLOOKUP($A358,Questions!$A$3:$X$333,19,0)&amp;""</f>
      </c>
      <c r="D358" s="57">
        <f>VLOOKUP($A358,Questions!$A$3:$X$333,20,0)&amp;""</f>
      </c>
    </row>
    <row r="359" spans="1:5" ht="43" customHeight="1" x14ac:dyDescent="0.2">
      <c r="A359" s="57" t="s">
        <v>1042</v>
      </c>
      <c r="B359" s="57">
        <f>VLOOKUP($A359,Questions!$A$3:$X$333,2,0)&amp;""</f>
      </c>
      <c r="C359" s="57">
        <f>VLOOKUP($A359,Questions!$A$3:$X$333,19,0)&amp;""</f>
      </c>
      <c r="D359" s="57">
        <f>VLOOKUP($A359,Questions!$A$3:$X$333,20,0)&amp;""</f>
      </c>
    </row>
    <row r="360" spans="1:5" ht="43" customHeight="1" x14ac:dyDescent="0.2">
      <c r="A360" s="57" t="s">
        <v>1043</v>
      </c>
      <c r="B360" s="57">
        <f>VLOOKUP($A360,Questions!$A$3:$X$333,2,0)&amp;""</f>
      </c>
      <c r="C360" s="57">
        <f>VLOOKUP($A360,Questions!$A$3:$X$333,19,0)&amp;""</f>
      </c>
      <c r="D360" s="57">
        <f>VLOOKUP($A360,Questions!$A$3:$X$333,20,0)&amp;""</f>
      </c>
    </row>
    <row r="361" spans="1:5" ht="43" customHeight="1" x14ac:dyDescent="0.15">
      <c r="A361" s="57" t="s">
        <v>1044</v>
      </c>
      <c r="B361" s="57">
        <f>VLOOKUP($A361,Questions!$A$3:$X$333,2,0)&amp;""</f>
      </c>
      <c r="C361" s="57">
        <f>VLOOKUP($A361,Questions!$A$3:$X$333,19,0)&amp;""</f>
      </c>
      <c r="D361" s="57">
        <f>VLOOKUP($A361,Questions!$A$3:$X$333,20,0)&amp;""</f>
      </c>
      <c r="E361" s="238" t="s">
        <v>1453</v>
      </c>
    </row>
    <row r="362" spans="1:5" ht="45" x14ac:dyDescent="0.2">
      <c r="A362" s="57" t="s">
        <v>1045</v>
      </c>
      <c r="B362" s="57">
        <f>VLOOKUP($A362,Questions!$A$3:$X$333,2,0)&amp;""</f>
      </c>
      <c r="C362" s="57">
        <f>VLOOKUP($A362,Questions!$A$3:$X$333,19,0)&amp;""</f>
      </c>
      <c r="D362" s="57">
        <f>VLOOKUP($A362,Questions!$A$3:$X$333,20,0)&amp;""</f>
      </c>
    </row>
    <row r="363" spans="1:5" ht="75" x14ac:dyDescent="0.2">
      <c r="A363" s="57" t="s">
        <v>1046</v>
      </c>
      <c r="B363" s="57">
        <f>VLOOKUP($A363,Questions!$A$3:$X$333,2,0)&amp;""</f>
      </c>
      <c r="C363" s="57">
        <f>VLOOKUP($A363,Questions!$A$3:$X$333,19,0)&amp;""</f>
      </c>
      <c r="D363" s="57">
        <f>VLOOKUP($A363,Questions!$A$3:$X$333,20,0)&amp;""</f>
      </c>
    </row>
    <row r="364" spans="1:5" ht="75" x14ac:dyDescent="0.2">
      <c r="A364" s="57" t="s">
        <v>1047</v>
      </c>
      <c r="B364" s="57">
        <f>VLOOKUP($A364,Questions!$A$3:$X$333,2,0)&amp;""</f>
      </c>
      <c r="C364" s="57">
        <f>VLOOKUP($A364,Questions!$A$3:$X$333,19,0)&amp;""</f>
      </c>
      <c r="D364" s="57">
        <f>VLOOKUP($A364,Questions!$A$3:$X$333,20,0)&amp;""</f>
      </c>
    </row>
    <row r="365" spans="1:5" ht="60" x14ac:dyDescent="0.2">
      <c r="A365" s="57" t="s">
        <v>1048</v>
      </c>
      <c r="B365" s="57">
        <f>VLOOKUP($A365,Questions!$A$3:$X$333,2,0)&amp;""</f>
      </c>
      <c r="C365" s="57">
        <f>VLOOKUP($A365,Questions!$A$3:$X$333,19,0)&amp;""</f>
      </c>
      <c r="D365" s="57">
        <f>VLOOKUP($A365,Questions!$A$3:$X$333,20,0)&amp;""</f>
      </c>
    </row>
    <row r="366" spans="1:5" ht="19" hidden="1" x14ac:dyDescent="0.2">
      <c r="A366" s="63">
        <f>VLOOKUP(LEFT($A367,4),'Auto Responses'!$N$4:$O$38,2,0)&amp;""</f>
        <v xml:space="preserve"> Privacy and AI</v>
      </c>
      <c r="B366" s="63"/>
      <c r="C366" s="56" t="str">
        <f>Questions!$S$2</f>
      </c>
      <c r="D366" s="56">
        <f>Questions!$T$2</f>
      </c>
    </row>
    <row r="367" spans="1:5" ht="30" hidden="1" x14ac:dyDescent="0.2">
      <c r="A367" s="57" t="s">
        <v>1049</v>
      </c>
      <c r="B367" s="57">
        <f>VLOOKUP($A367,Questions!$A$3:$X$333,2,0)&amp;""</f>
      </c>
      <c r="C367" s="57">
        <f>VLOOKUP($A367,Questions!$A$3:$X$333,18,0)&amp;""</f>
      </c>
      <c r="D367" s="57">
        <f>VLOOKUP($A367,Questions!$A$3:$X$333,19,0)&amp;""</f>
      </c>
    </row>
    <row r="368" spans="1:5" ht="30" hidden="1" x14ac:dyDescent="0.2">
      <c r="A368" s="57" t="s">
        <v>1050</v>
      </c>
      <c r="B368" s="57">
        <f>VLOOKUP($A368,Questions!$A$3:$X$333,2,0)&amp;""</f>
      </c>
      <c r="C368" s="57">
        <f>VLOOKUP($A368,Questions!$A$3:$X$333,18,0)&amp;""</f>
      </c>
      <c r="D368" s="57">
        <f>VLOOKUP($A368,Questions!$A$3:$X$333,19,0)&amp;""</f>
      </c>
    </row>
    <row r="369" spans="1:4" ht="30" hidden="1" x14ac:dyDescent="0.2">
      <c r="A369" s="57" t="s">
        <v>773</v>
      </c>
      <c r="B369" s="57">
        <f>VLOOKUP($A369,Questions!$A$3:$X$333,2,0)&amp;""</f>
      </c>
      <c r="C369" s="57">
        <f>VLOOKUP($A369,Questions!$A$3:$X$333,18,0)&amp;""</f>
      </c>
      <c r="D369" s="57">
        <f>VLOOKUP($A369,Questions!$A$3:$X$333,19,0)&amp;""</f>
      </c>
    </row>
    <row r="370" spans="1:4" ht="30" hidden="1" x14ac:dyDescent="0.2">
      <c r="A370" s="57" t="s">
        <v>775</v>
      </c>
      <c r="B370" s="57">
        <f>VLOOKUP($A370,Questions!$A$3:$X$333,2,0)&amp;""</f>
      </c>
      <c r="C370" s="57">
        <f>VLOOKUP($A370,Questions!$A$3:$X$333,18,0)&amp;""</f>
      </c>
      <c r="D370" s="57">
        <f>VLOOKUP($A370,Questions!$A$3:$X$333,19,0)&amp;""</f>
      </c>
    </row>
    <row r="371" spans="1:4" ht="30" hidden="1" x14ac:dyDescent="0.2">
      <c r="A371" s="57" t="s">
        <v>776</v>
      </c>
      <c r="B371" s="57">
        <f>VLOOKUP($A371,Questions!$A$3:$X$333,2,0)&amp;""</f>
      </c>
      <c r="C371" s="57">
        <f>VLOOKUP($A371,Questions!$A$3:$X$333,18,0)&amp;""</f>
      </c>
      <c r="D371" s="57">
        <f>VLOOKUP($A371,Questions!$A$3:$X$333,19,0)&amp;""</f>
      </c>
    </row>
    <row r="372" spans="1:4" ht="45" hidden="1" x14ac:dyDescent="0.2">
      <c r="A372" s="57" t="s">
        <v>778</v>
      </c>
      <c r="B372" s="57">
        <f>VLOOKUP($A372,Questions!$A$3:$X$333,2,0)&amp;""</f>
      </c>
      <c r="C372" s="57">
        <f>VLOOKUP($A372,Questions!$A$3:$X$333,18,0)&amp;""</f>
      </c>
      <c r="D372" s="57">
        <f>VLOOKUP($A372,Questions!$A$3:$X$333,19,0)&amp;""</f>
      </c>
    </row>
    <row r="373" spans="1:4" ht="60" hidden="1" x14ac:dyDescent="0.2">
      <c r="A373" s="57" t="s">
        <v>779</v>
      </c>
      <c r="B373" s="57">
        <f>VLOOKUP($A373,Questions!$A$3:$X$333,2,0)&amp;""</f>
      </c>
      <c r="C373" s="57">
        <f>VLOOKUP($A373,Questions!$A$3:$X$333,18,0)&amp;""</f>
      </c>
      <c r="D373" s="57">
        <f>VLOOKUP($A373,Questions!$A$3:$X$333,19,0)&amp;""</f>
      </c>
    </row>
    <row r="374" spans="1:4" ht="30" hidden="1" x14ac:dyDescent="0.2">
      <c r="A374" s="57" t="s">
        <v>780</v>
      </c>
      <c r="B374" s="57">
        <f>VLOOKUP($A374,Questions!$A$3:$X$333,2,0)&amp;""</f>
      </c>
      <c r="C374" s="57">
        <f>VLOOKUP($A374,Questions!$A$3:$X$333,18,0)&amp;""</f>
      </c>
      <c r="D374" s="57">
        <f>VLOOKUP($A374,Questions!$A$3:$X$333,19,0)&amp;""</f>
      </c>
    </row>
    <row r="375" spans="1:4" x14ac:dyDescent="0.15"/>
    <row r="376" spans="1:4" x14ac:dyDescent="0.15"/>
    <row r="377" spans="1:4" x14ac:dyDescent="0.15"/>
    <row r="378" spans="1:4" x14ac:dyDescent="0.15"/>
    <row r="379" spans="1:4" x14ac:dyDescent="0.15"/>
    <row r="380" spans="1:4" x14ac:dyDescent="0.15"/>
    <row r="381" spans="1:4" x14ac:dyDescent="0.15"/>
    <row r="382" spans="1:4" x14ac:dyDescent="0.15"/>
    <row r="383" spans="1:4" x14ac:dyDescent="0.15"/>
    <row r="384" spans="1:4" x14ac:dyDescent="0.15"/>
    <row r="385" x14ac:dyDescent="0.15"/>
  </sheetData>
  <phoneticPr fontId="31"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baseColWidth="10" defaultColWidth="8.75" defaultRowHeight="15.75" customHeight="1" x14ac:dyDescent="0.2"/>
  <cols>
    <col min="1" max="1" width="8.75" style="334" customWidth="1"/>
    <col min="2" max="2" width="35.625" style="334" customWidth="1"/>
    <col min="3" max="3" width="6.25" style="334" customWidth="1"/>
    <col min="4" max="4" width="5.875" style="334" customWidth="1"/>
    <col min="5" max="5" width="6.625" style="334" customWidth="1"/>
    <col min="6" max="7" width="7.25" style="334" customWidth="1"/>
    <col min="8" max="9" width="7.5" style="334" customWidth="1"/>
    <col min="10" max="10" width="6.875" style="334" customWidth="1"/>
    <col min="11" max="11" width="15.375" style="334" customWidth="1"/>
    <col min="12" max="12" width="12.625" style="334" customWidth="1"/>
    <col min="13" max="13" width="8.75" style="334" customWidth="1"/>
    <col min="14" max="20" width="18.25" style="334" customWidth="1"/>
    <col min="21" max="22" width="8.75" style="334" customWidth="1"/>
    <col min="23" max="23" width="10.875" style="334" customWidth="1"/>
    <col min="24" max="24" width="11.25" style="334" customWidth="1"/>
    <col min="25" max="16384" width="8.75" style="334"/>
  </cols>
  <sheetData>
    <row r="1" spans="1:24" ht="15.75" hidden="1" customHeight="1" x14ac:dyDescent="0.2">
      <c r="A1" s="333" t="s">
        <v>1906</v>
      </c>
    </row>
    <row r="2" spans="1:24" ht="30" x14ac:dyDescent="0.2">
      <c r="A2" s="335" t="s">
        <v>0</v>
      </c>
      <c r="B2" s="335" t="s">
        <v>1</v>
      </c>
      <c r="C2" s="336" t="s">
        <v>2</v>
      </c>
      <c r="D2" s="336" t="s">
        <v>3</v>
      </c>
      <c r="E2" s="336" t="s">
        <v>4</v>
      </c>
      <c r="F2" s="336" t="s">
        <v>5</v>
      </c>
      <c r="G2" s="336" t="s">
        <v>6</v>
      </c>
      <c r="H2" s="336" t="s">
        <v>7</v>
      </c>
      <c r="I2" s="336" t="s">
        <v>8</v>
      </c>
      <c r="J2" s="336" t="s">
        <v>9</v>
      </c>
      <c r="K2" s="337" t="s">
        <v>10</v>
      </c>
      <c r="L2" s="336" t="s">
        <v>11</v>
      </c>
      <c r="M2" s="338" t="s">
        <v>12</v>
      </c>
      <c r="N2" s="336" t="s">
        <v>13</v>
      </c>
      <c r="O2" s="336" t="s">
        <v>14</v>
      </c>
      <c r="P2" s="336" t="s">
        <v>15</v>
      </c>
      <c r="Q2" s="336" t="s">
        <v>16</v>
      </c>
      <c r="R2" s="336" t="s">
        <v>1524</v>
      </c>
      <c r="S2" s="339" t="s">
        <v>17</v>
      </c>
      <c r="T2" s="339" t="s">
        <v>873</v>
      </c>
      <c r="U2" s="340" t="s">
        <v>869</v>
      </c>
      <c r="V2" s="340" t="s">
        <v>18</v>
      </c>
      <c r="W2" s="340" t="s">
        <v>19</v>
      </c>
      <c r="X2" s="340" t="s">
        <v>20</v>
      </c>
    </row>
    <row r="3" spans="1:24" ht="15" x14ac:dyDescent="0.2">
      <c r="A3" s="341" t="s">
        <v>21</v>
      </c>
      <c r="B3" s="341" t="s">
        <v>1381</v>
      </c>
      <c r="C3" s="341">
        <v>1</v>
      </c>
      <c r="D3" s="341">
        <v>1</v>
      </c>
      <c r="E3" s="341">
        <v>1</v>
      </c>
      <c r="F3" s="341">
        <v>1</v>
      </c>
      <c r="G3" s="341">
        <v>1</v>
      </c>
      <c r="H3" s="341">
        <v>1</v>
      </c>
      <c r="I3" s="341">
        <v>1</v>
      </c>
      <c r="J3" s="341">
        <v>1</v>
      </c>
      <c r="K3" s="341" t="s">
        <v>22</v>
      </c>
      <c r="L3" s="341" t="s">
        <v>23</v>
      </c>
      <c r="M3" s="341">
        <v>0</v>
      </c>
      <c r="N3" s="341" t="s">
        <v>975</v>
      </c>
      <c r="O3" s="341" t="s">
        <v>975</v>
      </c>
      <c r="P3" s="341" t="s">
        <v>975</v>
      </c>
      <c r="Q3" s="341" t="s">
        <v>975</v>
      </c>
      <c r="R3" s="341"/>
      <c r="S3" s="341" t="s">
        <v>975</v>
      </c>
      <c r="T3" s="341" t="s">
        <v>975</v>
      </c>
      <c r="U3" s="341" t="s">
        <v>1004</v>
      </c>
      <c r="V3" s="341" t="s">
        <v>975</v>
      </c>
      <c r="W3" s="341" t="s">
        <v>975</v>
      </c>
      <c r="X3" s="341"/>
    </row>
    <row r="4" spans="1:24" ht="15" x14ac:dyDescent="0.2">
      <c r="A4" s="341" t="s">
        <v>24</v>
      </c>
      <c r="B4" s="341" t="s">
        <v>1204</v>
      </c>
      <c r="C4" s="341">
        <v>1</v>
      </c>
      <c r="D4" s="341">
        <v>1</v>
      </c>
      <c r="E4" s="341">
        <v>1</v>
      </c>
      <c r="F4" s="341">
        <v>1</v>
      </c>
      <c r="G4" s="341">
        <v>1</v>
      </c>
      <c r="H4" s="341">
        <v>1</v>
      </c>
      <c r="I4" s="341">
        <v>1</v>
      </c>
      <c r="J4" s="341">
        <v>1</v>
      </c>
      <c r="K4" s="341" t="s">
        <v>22</v>
      </c>
      <c r="L4" s="341" t="s">
        <v>23</v>
      </c>
      <c r="M4" s="341" t="s">
        <v>983</v>
      </c>
      <c r="N4" s="341" t="s">
        <v>975</v>
      </c>
      <c r="O4" s="341" t="s">
        <v>975</v>
      </c>
      <c r="P4" s="341" t="s">
        <v>975</v>
      </c>
      <c r="Q4" s="341" t="s">
        <v>975</v>
      </c>
      <c r="R4" s="341"/>
      <c r="S4" s="341" t="s">
        <v>975</v>
      </c>
      <c r="T4" s="341" t="s">
        <v>975</v>
      </c>
      <c r="U4" s="341" t="s">
        <v>1004</v>
      </c>
      <c r="V4" s="341" t="s">
        <v>975</v>
      </c>
      <c r="W4" s="341" t="s">
        <v>975</v>
      </c>
      <c r="X4" s="341"/>
    </row>
    <row r="5" spans="1:24" ht="15" x14ac:dyDescent="0.2">
      <c r="A5" s="341" t="s">
        <v>25</v>
      </c>
      <c r="B5" s="341" t="s">
        <v>1205</v>
      </c>
      <c r="C5" s="341">
        <v>1</v>
      </c>
      <c r="D5" s="341">
        <v>1</v>
      </c>
      <c r="E5" s="341">
        <v>1</v>
      </c>
      <c r="F5" s="341">
        <v>1</v>
      </c>
      <c r="G5" s="341">
        <v>1</v>
      </c>
      <c r="H5" s="341">
        <v>1</v>
      </c>
      <c r="I5" s="341">
        <v>1</v>
      </c>
      <c r="J5" s="341">
        <v>1</v>
      </c>
      <c r="K5" s="341" t="s">
        <v>22</v>
      </c>
      <c r="L5" s="341" t="s">
        <v>23</v>
      </c>
      <c r="M5" s="341" t="s">
        <v>983</v>
      </c>
      <c r="N5" s="341" t="s">
        <v>975</v>
      </c>
      <c r="O5" s="341" t="s">
        <v>975</v>
      </c>
      <c r="P5" s="341" t="s">
        <v>975</v>
      </c>
      <c r="Q5" s="341" t="s">
        <v>975</v>
      </c>
      <c r="R5" s="341"/>
      <c r="S5" s="341" t="s">
        <v>975</v>
      </c>
      <c r="T5" s="341" t="s">
        <v>975</v>
      </c>
      <c r="U5" s="341" t="s">
        <v>1004</v>
      </c>
      <c r="V5" s="341" t="s">
        <v>975</v>
      </c>
      <c r="W5" s="341" t="s">
        <v>975</v>
      </c>
      <c r="X5" s="341"/>
    </row>
    <row r="6" spans="1:24" ht="15" x14ac:dyDescent="0.2">
      <c r="A6" s="341" t="s">
        <v>26</v>
      </c>
      <c r="B6" s="341" t="s">
        <v>1382</v>
      </c>
      <c r="C6" s="341">
        <v>1</v>
      </c>
      <c r="D6" s="341">
        <v>1</v>
      </c>
      <c r="E6" s="341">
        <v>0</v>
      </c>
      <c r="F6" s="341">
        <v>0</v>
      </c>
      <c r="G6" s="341">
        <v>0</v>
      </c>
      <c r="H6" s="341">
        <v>0</v>
      </c>
      <c r="I6" s="341">
        <v>0</v>
      </c>
      <c r="J6" s="341">
        <v>0</v>
      </c>
      <c r="K6" s="341" t="s">
        <v>22</v>
      </c>
      <c r="L6" s="341" t="s">
        <v>23</v>
      </c>
      <c r="M6" s="341" t="s">
        <v>983</v>
      </c>
      <c r="N6" s="341" t="s">
        <v>975</v>
      </c>
      <c r="O6" s="341" t="s">
        <v>975</v>
      </c>
      <c r="P6" s="341" t="s">
        <v>975</v>
      </c>
      <c r="Q6" s="341" t="s">
        <v>975</v>
      </c>
      <c r="R6" s="341"/>
      <c r="S6" s="341" t="s">
        <v>975</v>
      </c>
      <c r="T6" s="341" t="s">
        <v>975</v>
      </c>
      <c r="U6" s="341" t="s">
        <v>1004</v>
      </c>
      <c r="V6" s="341" t="s">
        <v>975</v>
      </c>
      <c r="W6" s="341" t="s">
        <v>975</v>
      </c>
      <c r="X6" s="341"/>
    </row>
    <row r="7" spans="1:24" ht="15" x14ac:dyDescent="0.2">
      <c r="A7" s="341" t="s">
        <v>27</v>
      </c>
      <c r="B7" s="341" t="s">
        <v>1383</v>
      </c>
      <c r="C7" s="341">
        <v>1</v>
      </c>
      <c r="D7" s="341">
        <v>1</v>
      </c>
      <c r="E7" s="341">
        <v>0</v>
      </c>
      <c r="F7" s="341">
        <v>0</v>
      </c>
      <c r="G7" s="341">
        <v>0</v>
      </c>
      <c r="H7" s="341">
        <v>0</v>
      </c>
      <c r="I7" s="341">
        <v>0</v>
      </c>
      <c r="J7" s="341">
        <v>0</v>
      </c>
      <c r="K7" s="341" t="s">
        <v>22</v>
      </c>
      <c r="L7" s="341" t="s">
        <v>23</v>
      </c>
      <c r="M7" s="341" t="s">
        <v>983</v>
      </c>
      <c r="N7" s="341" t="s">
        <v>975</v>
      </c>
      <c r="O7" s="341" t="s">
        <v>975</v>
      </c>
      <c r="P7" s="341" t="s">
        <v>975</v>
      </c>
      <c r="Q7" s="341" t="s">
        <v>975</v>
      </c>
      <c r="R7" s="341"/>
      <c r="S7" s="341" t="s">
        <v>975</v>
      </c>
      <c r="T7" s="341" t="s">
        <v>975</v>
      </c>
      <c r="U7" s="341" t="s">
        <v>1004</v>
      </c>
      <c r="V7" s="341" t="s">
        <v>975</v>
      </c>
      <c r="W7" s="341" t="s">
        <v>975</v>
      </c>
      <c r="X7" s="341"/>
    </row>
    <row r="8" spans="1:24" ht="15" x14ac:dyDescent="0.2">
      <c r="A8" s="341" t="s">
        <v>28</v>
      </c>
      <c r="B8" s="341" t="s">
        <v>1384</v>
      </c>
      <c r="C8" s="341">
        <v>1</v>
      </c>
      <c r="D8" s="341">
        <v>1</v>
      </c>
      <c r="E8" s="341">
        <v>0</v>
      </c>
      <c r="F8" s="341">
        <v>0</v>
      </c>
      <c r="G8" s="341">
        <v>0</v>
      </c>
      <c r="H8" s="341">
        <v>0</v>
      </c>
      <c r="I8" s="341">
        <v>0</v>
      </c>
      <c r="J8" s="341">
        <v>0</v>
      </c>
      <c r="K8" s="341" t="s">
        <v>22</v>
      </c>
      <c r="L8" s="341" t="s">
        <v>23</v>
      </c>
      <c r="M8" s="341" t="s">
        <v>983</v>
      </c>
      <c r="N8" s="341" t="s">
        <v>975</v>
      </c>
      <c r="O8" s="341" t="s">
        <v>975</v>
      </c>
      <c r="P8" s="341" t="s">
        <v>975</v>
      </c>
      <c r="Q8" s="341" t="s">
        <v>975</v>
      </c>
      <c r="R8" s="341"/>
      <c r="S8" s="341" t="s">
        <v>975</v>
      </c>
      <c r="T8" s="341" t="s">
        <v>975</v>
      </c>
      <c r="U8" s="341" t="s">
        <v>1004</v>
      </c>
      <c r="V8" s="341" t="s">
        <v>975</v>
      </c>
      <c r="W8" s="341" t="s">
        <v>975</v>
      </c>
      <c r="X8" s="341"/>
    </row>
    <row r="9" spans="1:24" ht="15" x14ac:dyDescent="0.2">
      <c r="A9" s="341" t="s">
        <v>29</v>
      </c>
      <c r="B9" s="341" t="s">
        <v>1385</v>
      </c>
      <c r="C9" s="341">
        <v>1</v>
      </c>
      <c r="D9" s="341">
        <v>1</v>
      </c>
      <c r="E9" s="341">
        <v>0</v>
      </c>
      <c r="F9" s="341">
        <v>0</v>
      </c>
      <c r="G9" s="341">
        <v>0</v>
      </c>
      <c r="H9" s="341">
        <v>0</v>
      </c>
      <c r="I9" s="341">
        <v>0</v>
      </c>
      <c r="J9" s="341">
        <v>0</v>
      </c>
      <c r="K9" s="341" t="s">
        <v>22</v>
      </c>
      <c r="L9" s="341" t="s">
        <v>23</v>
      </c>
      <c r="M9" s="341" t="s">
        <v>983</v>
      </c>
      <c r="N9" s="341" t="s">
        <v>975</v>
      </c>
      <c r="O9" s="341" t="s">
        <v>975</v>
      </c>
      <c r="P9" s="341" t="s">
        <v>975</v>
      </c>
      <c r="Q9" s="341" t="s">
        <v>975</v>
      </c>
      <c r="R9" s="341"/>
      <c r="S9" s="341" t="s">
        <v>975</v>
      </c>
      <c r="T9" s="341" t="s">
        <v>975</v>
      </c>
      <c r="U9" s="341" t="s">
        <v>1004</v>
      </c>
      <c r="V9" s="341" t="s">
        <v>975</v>
      </c>
      <c r="W9" s="341" t="s">
        <v>975</v>
      </c>
      <c r="X9" s="341"/>
    </row>
    <row r="10" spans="1:24" ht="15" x14ac:dyDescent="0.2">
      <c r="A10" s="341" t="s">
        <v>30</v>
      </c>
      <c r="B10" s="341" t="s">
        <v>31</v>
      </c>
      <c r="C10" s="341">
        <v>1</v>
      </c>
      <c r="D10" s="341">
        <v>1</v>
      </c>
      <c r="E10" s="341">
        <v>1</v>
      </c>
      <c r="F10" s="341">
        <v>1</v>
      </c>
      <c r="G10" s="341">
        <v>1</v>
      </c>
      <c r="H10" s="341">
        <v>1</v>
      </c>
      <c r="I10" s="341">
        <v>1</v>
      </c>
      <c r="J10" s="341">
        <v>1</v>
      </c>
      <c r="K10" s="341" t="s">
        <v>22</v>
      </c>
      <c r="L10" s="341" t="s">
        <v>23</v>
      </c>
      <c r="M10" s="341" t="s">
        <v>975</v>
      </c>
      <c r="N10" s="341" t="s">
        <v>975</v>
      </c>
      <c r="O10" s="341" t="s">
        <v>975</v>
      </c>
      <c r="P10" s="341" t="s">
        <v>975</v>
      </c>
      <c r="Q10" s="341" t="s">
        <v>975</v>
      </c>
      <c r="R10" s="341"/>
      <c r="S10" s="341" t="s">
        <v>975</v>
      </c>
      <c r="T10" s="341" t="s">
        <v>975</v>
      </c>
      <c r="U10" s="341" t="s">
        <v>1004</v>
      </c>
      <c r="V10" s="341" t="s">
        <v>975</v>
      </c>
      <c r="W10" s="341" t="s">
        <v>975</v>
      </c>
      <c r="X10" s="341"/>
    </row>
    <row r="11" spans="1:24" ht="45" x14ac:dyDescent="0.2">
      <c r="A11" s="341" t="s">
        <v>32</v>
      </c>
      <c r="B11" s="341" t="s">
        <v>33</v>
      </c>
      <c r="C11" s="341">
        <v>1</v>
      </c>
      <c r="D11" s="341">
        <v>0</v>
      </c>
      <c r="E11" s="341">
        <v>0</v>
      </c>
      <c r="F11" s="341">
        <v>0</v>
      </c>
      <c r="G11" s="341">
        <v>0</v>
      </c>
      <c r="H11" s="341">
        <v>0</v>
      </c>
      <c r="I11" s="341">
        <v>0</v>
      </c>
      <c r="J11" s="341">
        <v>1</v>
      </c>
      <c r="K11" s="341" t="s">
        <v>22</v>
      </c>
      <c r="L11" s="341" t="s">
        <v>23</v>
      </c>
      <c r="M11" s="341" t="s">
        <v>983</v>
      </c>
      <c r="N11" s="341" t="s">
        <v>975</v>
      </c>
      <c r="O11" s="341" t="s">
        <v>975</v>
      </c>
      <c r="P11" s="341" t="s">
        <v>975</v>
      </c>
      <c r="Q11" s="341" t="s">
        <v>975</v>
      </c>
      <c r="R11" s="341"/>
      <c r="S11" s="341" t="s">
        <v>1216</v>
      </c>
      <c r="T11" s="341" t="s">
        <v>34</v>
      </c>
      <c r="U11" s="341" t="s">
        <v>1004</v>
      </c>
      <c r="V11" s="341" t="s">
        <v>975</v>
      </c>
      <c r="W11" s="341" t="s">
        <v>975</v>
      </c>
      <c r="X11" s="341"/>
    </row>
    <row r="12" spans="1:24" ht="240" x14ac:dyDescent="0.2">
      <c r="A12" s="353" t="s">
        <v>35</v>
      </c>
      <c r="B12" s="353" t="s">
        <v>1054</v>
      </c>
      <c r="C12" s="341">
        <v>1</v>
      </c>
      <c r="D12" s="341">
        <v>0</v>
      </c>
      <c r="E12" s="341">
        <v>0</v>
      </c>
      <c r="F12" s="341">
        <v>0</v>
      </c>
      <c r="G12" s="341">
        <v>0</v>
      </c>
      <c r="H12" s="341">
        <v>0</v>
      </c>
      <c r="I12" s="341">
        <v>0</v>
      </c>
      <c r="J12" s="341">
        <v>1</v>
      </c>
      <c r="K12" s="341"/>
      <c r="L12" s="341" t="s">
        <v>38</v>
      </c>
      <c r="M12" s="341" t="s">
        <v>983</v>
      </c>
      <c r="N12" s="341" t="s">
        <v>975</v>
      </c>
      <c r="O12" s="341" t="s">
        <v>975</v>
      </c>
      <c r="P12" s="341" t="s">
        <v>1055</v>
      </c>
      <c r="Q12" s="341" t="s">
        <v>1056</v>
      </c>
      <c r="R12" s="341" t="s">
        <v>1908</v>
      </c>
      <c r="S12" s="341" t="s">
        <v>1217</v>
      </c>
      <c r="T12" s="341" t="s">
        <v>1218</v>
      </c>
      <c r="U12" s="341" t="s">
        <v>40</v>
      </c>
      <c r="V12" s="341" t="s">
        <v>983</v>
      </c>
      <c r="W12" s="341" t="s">
        <v>75</v>
      </c>
      <c r="X12" s="341">
        <f t="shared" ref="X12:X75" si="0">IF($W12="Critical Importance",20,IF($W12="Minor Importance",5,10))</f>
      </c>
    </row>
    <row r="13" spans="1:24" ht="105" x14ac:dyDescent="0.2">
      <c r="A13" s="341" t="s">
        <v>42</v>
      </c>
      <c r="B13" s="341" t="s">
        <v>36</v>
      </c>
      <c r="C13" s="341">
        <v>1</v>
      </c>
      <c r="D13" s="341">
        <v>0</v>
      </c>
      <c r="E13" s="341">
        <v>0</v>
      </c>
      <c r="F13" s="341">
        <v>0</v>
      </c>
      <c r="G13" s="341">
        <v>0</v>
      </c>
      <c r="H13" s="341">
        <v>0</v>
      </c>
      <c r="I13" s="341">
        <v>0</v>
      </c>
      <c r="J13" s="341">
        <v>1</v>
      </c>
      <c r="K13" s="341"/>
      <c r="L13" s="341" t="s">
        <v>1004</v>
      </c>
      <c r="M13" s="341" t="s">
        <v>983</v>
      </c>
      <c r="N13" s="341" t="s">
        <v>975</v>
      </c>
      <c r="O13" s="341" t="s">
        <v>39</v>
      </c>
      <c r="P13" s="341" t="s">
        <v>39</v>
      </c>
      <c r="Q13" s="341" t="s">
        <v>39</v>
      </c>
      <c r="R13" s="341"/>
      <c r="S13" s="341" t="s">
        <v>1410</v>
      </c>
      <c r="T13" s="341" t="s">
        <v>1219</v>
      </c>
      <c r="U13" s="341" t="s">
        <v>1004</v>
      </c>
      <c r="V13" s="341" t="s">
        <v>983</v>
      </c>
      <c r="W13" s="341"/>
      <c r="X13" s="341"/>
    </row>
    <row r="14" spans="1:24" ht="180" x14ac:dyDescent="0.2">
      <c r="A14" s="341" t="s">
        <v>44</v>
      </c>
      <c r="B14" s="341" t="s">
        <v>1156</v>
      </c>
      <c r="C14" s="341">
        <v>1</v>
      </c>
      <c r="D14" s="341">
        <v>0</v>
      </c>
      <c r="E14" s="341">
        <v>0</v>
      </c>
      <c r="F14" s="341">
        <v>0</v>
      </c>
      <c r="G14" s="341">
        <v>0</v>
      </c>
      <c r="H14" s="341">
        <v>0</v>
      </c>
      <c r="I14" s="341">
        <v>0</v>
      </c>
      <c r="J14" s="341">
        <v>1</v>
      </c>
      <c r="K14" s="341"/>
      <c r="L14" s="341" t="s">
        <v>38</v>
      </c>
      <c r="M14" s="341" t="s">
        <v>983</v>
      </c>
      <c r="N14" s="341" t="s">
        <v>975</v>
      </c>
      <c r="O14" s="341" t="s">
        <v>975</v>
      </c>
      <c r="P14" s="341" t="s">
        <v>43</v>
      </c>
      <c r="Q14" s="341" t="s">
        <v>975</v>
      </c>
      <c r="R14" s="341"/>
      <c r="S14" s="341" t="s">
        <v>1220</v>
      </c>
      <c r="T14" s="341" t="s">
        <v>1221</v>
      </c>
      <c r="U14" s="341" t="s">
        <v>40</v>
      </c>
      <c r="V14" s="341" t="s">
        <v>983</v>
      </c>
      <c r="W14" s="341" t="s">
        <v>41</v>
      </c>
      <c r="X14" s="341">
        <f t="shared" si="0"/>
      </c>
    </row>
    <row r="15" spans="1:24" ht="225" x14ac:dyDescent="0.2">
      <c r="A15" s="341" t="s">
        <v>45</v>
      </c>
      <c r="B15" s="341" t="s">
        <v>1057</v>
      </c>
      <c r="C15" s="341">
        <v>1</v>
      </c>
      <c r="D15" s="341">
        <v>0</v>
      </c>
      <c r="E15" s="341">
        <v>0</v>
      </c>
      <c r="F15" s="341">
        <v>0</v>
      </c>
      <c r="G15" s="341">
        <v>0</v>
      </c>
      <c r="H15" s="341">
        <v>0</v>
      </c>
      <c r="I15" s="341">
        <v>0</v>
      </c>
      <c r="J15" s="341">
        <v>1</v>
      </c>
      <c r="K15" s="341"/>
      <c r="L15" s="341" t="s">
        <v>38</v>
      </c>
      <c r="M15" s="341" t="s">
        <v>983</v>
      </c>
      <c r="N15" s="341" t="s">
        <v>975</v>
      </c>
      <c r="O15" s="341" t="s">
        <v>975</v>
      </c>
      <c r="P15" s="341" t="s">
        <v>1058</v>
      </c>
      <c r="Q15" s="341" t="s">
        <v>1059</v>
      </c>
      <c r="R15" s="341"/>
      <c r="S15" s="341" t="s">
        <v>1409</v>
      </c>
      <c r="T15" s="341" t="s">
        <v>1386</v>
      </c>
      <c r="U15" s="341" t="s">
        <v>40</v>
      </c>
      <c r="V15" s="341" t="s">
        <v>983</v>
      </c>
      <c r="W15" s="341" t="s">
        <v>41</v>
      </c>
      <c r="X15" s="341">
        <f t="shared" si="0"/>
      </c>
    </row>
    <row r="16" spans="1:24" ht="195" x14ac:dyDescent="0.2">
      <c r="A16" s="341" t="s">
        <v>47</v>
      </c>
      <c r="B16" s="341" t="s">
        <v>1060</v>
      </c>
      <c r="C16" s="341">
        <v>1</v>
      </c>
      <c r="D16" s="341">
        <v>0</v>
      </c>
      <c r="E16" s="341">
        <v>0</v>
      </c>
      <c r="F16" s="341">
        <v>0</v>
      </c>
      <c r="G16" s="341">
        <v>0</v>
      </c>
      <c r="H16" s="341">
        <v>0</v>
      </c>
      <c r="I16" s="341">
        <v>0</v>
      </c>
      <c r="J16" s="341">
        <v>0</v>
      </c>
      <c r="K16" s="341"/>
      <c r="L16" s="341" t="s">
        <v>23</v>
      </c>
      <c r="M16" s="341">
        <v>0</v>
      </c>
      <c r="N16" s="341"/>
      <c r="O16" s="341" t="s">
        <v>1157</v>
      </c>
      <c r="P16" s="341" t="s">
        <v>1157</v>
      </c>
      <c r="Q16" s="341" t="s">
        <v>1157</v>
      </c>
      <c r="R16" s="341"/>
      <c r="S16" s="341" t="s">
        <v>1222</v>
      </c>
      <c r="T16" s="341" t="s">
        <v>1223</v>
      </c>
      <c r="U16" s="341" t="s">
        <v>1004</v>
      </c>
      <c r="V16" s="341"/>
      <c r="W16" s="341"/>
      <c r="X16" s="341"/>
    </row>
    <row r="17" spans="1:24" ht="60" x14ac:dyDescent="0.2">
      <c r="A17" s="341" t="s">
        <v>48</v>
      </c>
      <c r="B17" s="342" t="s">
        <v>1698</v>
      </c>
      <c r="C17" s="341">
        <v>1</v>
      </c>
      <c r="D17" s="341">
        <v>0</v>
      </c>
      <c r="E17" s="341">
        <v>1</v>
      </c>
      <c r="F17" s="341">
        <v>1</v>
      </c>
      <c r="G17" s="341">
        <v>0</v>
      </c>
      <c r="H17" s="341">
        <v>0</v>
      </c>
      <c r="I17" s="341">
        <v>0</v>
      </c>
      <c r="J17" s="341">
        <v>0</v>
      </c>
      <c r="K17" s="341" t="s">
        <v>22</v>
      </c>
      <c r="L17" s="341" t="s">
        <v>23</v>
      </c>
      <c r="M17" s="341" t="s">
        <v>975</v>
      </c>
      <c r="N17" s="341" t="s">
        <v>975</v>
      </c>
      <c r="O17" s="341" t="s">
        <v>1699</v>
      </c>
      <c r="P17" s="341" t="s">
        <v>49</v>
      </c>
      <c r="Q17" s="341" t="s">
        <v>50</v>
      </c>
      <c r="R17" s="341"/>
      <c r="S17" s="341" t="s">
        <v>975</v>
      </c>
      <c r="T17" s="341" t="s">
        <v>975</v>
      </c>
      <c r="U17" s="341" t="s">
        <v>1004</v>
      </c>
      <c r="V17" s="341" t="s">
        <v>975</v>
      </c>
      <c r="W17" s="341"/>
      <c r="X17" s="341"/>
    </row>
    <row r="18" spans="1:24" ht="60" x14ac:dyDescent="0.2">
      <c r="A18" s="341" t="s">
        <v>51</v>
      </c>
      <c r="B18" s="341" t="s">
        <v>1411</v>
      </c>
      <c r="C18" s="341">
        <v>1</v>
      </c>
      <c r="D18" s="341">
        <v>0</v>
      </c>
      <c r="E18" s="341">
        <v>0</v>
      </c>
      <c r="F18" s="341">
        <v>0</v>
      </c>
      <c r="G18" s="341">
        <v>1</v>
      </c>
      <c r="H18" s="341">
        <v>0</v>
      </c>
      <c r="I18" s="341">
        <v>0</v>
      </c>
      <c r="J18" s="341">
        <v>0</v>
      </c>
      <c r="K18" s="341" t="s">
        <v>22</v>
      </c>
      <c r="L18" s="341" t="s">
        <v>23</v>
      </c>
      <c r="M18" s="341" t="s">
        <v>975</v>
      </c>
      <c r="N18" s="341" t="s">
        <v>975</v>
      </c>
      <c r="O18" s="341" t="s">
        <v>1400</v>
      </c>
      <c r="P18" s="341" t="s">
        <v>52</v>
      </c>
      <c r="Q18" s="341" t="s">
        <v>53</v>
      </c>
      <c r="R18" s="341"/>
      <c r="S18" s="341" t="s">
        <v>975</v>
      </c>
      <c r="T18" s="341" t="s">
        <v>975</v>
      </c>
      <c r="U18" s="341" t="s">
        <v>1004</v>
      </c>
      <c r="V18" s="341" t="s">
        <v>975</v>
      </c>
      <c r="W18" s="341"/>
      <c r="X18" s="341"/>
    </row>
    <row r="19" spans="1:24" ht="45" x14ac:dyDescent="0.2">
      <c r="A19" s="341" t="s">
        <v>54</v>
      </c>
      <c r="B19" s="341" t="s">
        <v>55</v>
      </c>
      <c r="C19" s="341">
        <v>1</v>
      </c>
      <c r="D19" s="341">
        <v>0</v>
      </c>
      <c r="E19" s="341">
        <v>0</v>
      </c>
      <c r="F19" s="341">
        <v>0</v>
      </c>
      <c r="G19" s="341">
        <v>0</v>
      </c>
      <c r="H19" s="341">
        <v>1</v>
      </c>
      <c r="I19" s="341">
        <v>0</v>
      </c>
      <c r="J19" s="341">
        <v>0</v>
      </c>
      <c r="K19" s="341" t="s">
        <v>22</v>
      </c>
      <c r="L19" s="341" t="s">
        <v>23</v>
      </c>
      <c r="M19" s="341" t="s">
        <v>975</v>
      </c>
      <c r="N19" s="341" t="s">
        <v>975</v>
      </c>
      <c r="O19" s="341" t="s">
        <v>975</v>
      </c>
      <c r="P19" s="341" t="s">
        <v>56</v>
      </c>
      <c r="Q19" s="341" t="s">
        <v>57</v>
      </c>
      <c r="R19" s="341"/>
      <c r="S19" s="341" t="s">
        <v>975</v>
      </c>
      <c r="T19" s="341" t="s">
        <v>975</v>
      </c>
      <c r="U19" s="341" t="s">
        <v>1004</v>
      </c>
      <c r="V19" s="341" t="s">
        <v>975</v>
      </c>
      <c r="W19" s="341"/>
      <c r="X19" s="341"/>
    </row>
    <row r="20" spans="1:24" ht="45" x14ac:dyDescent="0.2">
      <c r="A20" s="341" t="s">
        <v>58</v>
      </c>
      <c r="B20" s="341" t="s">
        <v>1158</v>
      </c>
      <c r="C20" s="341">
        <v>1</v>
      </c>
      <c r="D20" s="341">
        <v>0</v>
      </c>
      <c r="E20" s="341">
        <v>0</v>
      </c>
      <c r="F20" s="341">
        <v>0</v>
      </c>
      <c r="G20" s="341">
        <v>0</v>
      </c>
      <c r="H20" s="341">
        <v>0</v>
      </c>
      <c r="I20" s="341">
        <v>1</v>
      </c>
      <c r="J20" s="341">
        <v>1</v>
      </c>
      <c r="K20" s="341" t="s">
        <v>22</v>
      </c>
      <c r="L20" s="341" t="s">
        <v>23</v>
      </c>
      <c r="M20" s="341" t="s">
        <v>975</v>
      </c>
      <c r="N20" s="341" t="s">
        <v>975</v>
      </c>
      <c r="O20" s="341" t="s">
        <v>975</v>
      </c>
      <c r="P20" s="341" t="s">
        <v>59</v>
      </c>
      <c r="Q20" s="341" t="s">
        <v>60</v>
      </c>
      <c r="R20" s="341"/>
      <c r="S20" s="341" t="s">
        <v>975</v>
      </c>
      <c r="T20" s="341" t="s">
        <v>975</v>
      </c>
      <c r="U20" s="341" t="s">
        <v>1004</v>
      </c>
      <c r="V20" s="341" t="s">
        <v>975</v>
      </c>
      <c r="W20" s="341"/>
      <c r="X20" s="341"/>
    </row>
    <row r="21" spans="1:24" ht="75" x14ac:dyDescent="0.2">
      <c r="A21" s="341" t="s">
        <v>61</v>
      </c>
      <c r="B21" s="341" t="s">
        <v>1159</v>
      </c>
      <c r="C21" s="341">
        <v>1</v>
      </c>
      <c r="D21" s="341">
        <v>0</v>
      </c>
      <c r="E21" s="341">
        <v>0</v>
      </c>
      <c r="F21" s="341">
        <v>0</v>
      </c>
      <c r="G21" s="341">
        <v>0</v>
      </c>
      <c r="H21" s="341">
        <v>1</v>
      </c>
      <c r="I21" s="341">
        <v>0</v>
      </c>
      <c r="J21" s="341">
        <v>1</v>
      </c>
      <c r="K21" s="341" t="s">
        <v>22</v>
      </c>
      <c r="L21" s="341" t="s">
        <v>23</v>
      </c>
      <c r="M21" s="341" t="s">
        <v>983</v>
      </c>
      <c r="N21" s="341" t="s">
        <v>975</v>
      </c>
      <c r="O21" s="341" t="s">
        <v>1160</v>
      </c>
      <c r="P21" s="341" t="s">
        <v>62</v>
      </c>
      <c r="Q21" s="341" t="s">
        <v>63</v>
      </c>
      <c r="R21" s="341"/>
      <c r="S21" s="341"/>
      <c r="T21" s="341"/>
      <c r="U21" s="341" t="s">
        <v>1004</v>
      </c>
      <c r="V21" s="341"/>
      <c r="W21" s="341"/>
      <c r="X21" s="341"/>
    </row>
    <row r="22" spans="1:24" ht="60" x14ac:dyDescent="0.2">
      <c r="A22" s="341" t="s">
        <v>64</v>
      </c>
      <c r="B22" s="341" t="s">
        <v>1412</v>
      </c>
      <c r="C22" s="341">
        <v>1</v>
      </c>
      <c r="D22" s="341">
        <v>0</v>
      </c>
      <c r="E22" s="341">
        <v>0</v>
      </c>
      <c r="F22" s="341">
        <v>0</v>
      </c>
      <c r="G22" s="341">
        <v>0</v>
      </c>
      <c r="H22" s="341">
        <v>1</v>
      </c>
      <c r="I22" s="341">
        <v>0</v>
      </c>
      <c r="J22" s="341">
        <v>1</v>
      </c>
      <c r="K22" s="341" t="s">
        <v>22</v>
      </c>
      <c r="L22" s="341" t="s">
        <v>23</v>
      </c>
      <c r="M22" s="341" t="s">
        <v>983</v>
      </c>
      <c r="N22" s="341" t="s">
        <v>975</v>
      </c>
      <c r="O22" s="341" t="s">
        <v>1161</v>
      </c>
      <c r="P22" s="341" t="s">
        <v>65</v>
      </c>
      <c r="Q22" s="341" t="s">
        <v>66</v>
      </c>
      <c r="R22" s="341"/>
      <c r="S22" s="341"/>
      <c r="T22" s="341"/>
      <c r="U22" s="341" t="s">
        <v>1004</v>
      </c>
      <c r="V22" s="341"/>
      <c r="W22" s="341"/>
      <c r="X22" s="341"/>
    </row>
    <row r="23" spans="1:24" ht="93.75" customHeight="1" x14ac:dyDescent="0.2">
      <c r="A23" s="341" t="s">
        <v>67</v>
      </c>
      <c r="B23" s="341" t="s">
        <v>1162</v>
      </c>
      <c r="C23" s="341">
        <v>1</v>
      </c>
      <c r="D23" s="341">
        <v>0</v>
      </c>
      <c r="E23" s="341">
        <v>0</v>
      </c>
      <c r="F23" s="341">
        <v>0</v>
      </c>
      <c r="G23" s="341">
        <v>0</v>
      </c>
      <c r="H23" s="341">
        <v>1</v>
      </c>
      <c r="I23" s="341">
        <v>0</v>
      </c>
      <c r="J23" s="341">
        <v>0</v>
      </c>
      <c r="K23" s="341" t="s">
        <v>22</v>
      </c>
      <c r="L23" s="341" t="s">
        <v>23</v>
      </c>
      <c r="M23" s="341" t="s">
        <v>975</v>
      </c>
      <c r="N23" s="341" t="s">
        <v>975</v>
      </c>
      <c r="O23" s="341" t="s">
        <v>975</v>
      </c>
      <c r="P23" s="341" t="s">
        <v>68</v>
      </c>
      <c r="Q23" s="341" t="s">
        <v>69</v>
      </c>
      <c r="R23" s="341"/>
      <c r="S23" s="341" t="s">
        <v>975</v>
      </c>
      <c r="T23" s="341" t="s">
        <v>975</v>
      </c>
      <c r="U23" s="341" t="s">
        <v>1004</v>
      </c>
      <c r="V23" s="341" t="s">
        <v>975</v>
      </c>
      <c r="W23" s="341"/>
      <c r="X23" s="341"/>
    </row>
    <row r="24" spans="1:24" ht="81.75" customHeight="1" x14ac:dyDescent="0.2">
      <c r="A24" s="341" t="s">
        <v>968</v>
      </c>
      <c r="B24" s="341" t="s">
        <v>1464</v>
      </c>
      <c r="C24" s="341">
        <v>1</v>
      </c>
      <c r="D24" s="341">
        <v>0</v>
      </c>
      <c r="E24" s="341">
        <v>0</v>
      </c>
      <c r="F24" s="341">
        <v>0</v>
      </c>
      <c r="G24" s="341">
        <v>0</v>
      </c>
      <c r="H24" s="341">
        <v>0</v>
      </c>
      <c r="I24" s="341">
        <v>0</v>
      </c>
      <c r="J24" s="341">
        <v>1</v>
      </c>
      <c r="K24" s="341" t="s">
        <v>22</v>
      </c>
      <c r="L24" s="341" t="s">
        <v>23</v>
      </c>
      <c r="M24" s="341"/>
      <c r="N24" s="341"/>
      <c r="O24" s="341" t="s">
        <v>969</v>
      </c>
      <c r="P24" s="224" t="s">
        <v>970</v>
      </c>
      <c r="Q24" s="224" t="s">
        <v>971</v>
      </c>
      <c r="R24" s="224"/>
      <c r="S24" s="341"/>
      <c r="T24" s="341"/>
      <c r="U24" s="341" t="s">
        <v>1004</v>
      </c>
      <c r="V24" s="341"/>
      <c r="W24" s="341"/>
      <c r="X24" s="341"/>
    </row>
    <row r="25" spans="1:24" ht="165" x14ac:dyDescent="0.2">
      <c r="A25" s="353" t="s">
        <v>70</v>
      </c>
      <c r="B25" s="353" t="s">
        <v>1413</v>
      </c>
      <c r="C25" s="341">
        <v>0</v>
      </c>
      <c r="D25" s="341">
        <v>1</v>
      </c>
      <c r="E25" s="341">
        <v>0</v>
      </c>
      <c r="F25" s="341">
        <v>0</v>
      </c>
      <c r="G25" s="341">
        <v>0</v>
      </c>
      <c r="H25" s="341">
        <v>0</v>
      </c>
      <c r="I25" s="341">
        <v>0</v>
      </c>
      <c r="J25" s="341">
        <v>1</v>
      </c>
      <c r="K25" s="341"/>
      <c r="L25" s="341" t="s">
        <v>131</v>
      </c>
      <c r="M25" s="341" t="s">
        <v>975</v>
      </c>
      <c r="N25" s="341" t="s">
        <v>975</v>
      </c>
      <c r="O25" s="341" t="s">
        <v>975</v>
      </c>
      <c r="P25" s="341" t="s">
        <v>975</v>
      </c>
      <c r="Q25" s="341" t="s">
        <v>975</v>
      </c>
      <c r="R25" s="349"/>
      <c r="S25" s="341" t="s">
        <v>1866</v>
      </c>
      <c r="T25" s="341" t="s">
        <v>975</v>
      </c>
      <c r="U25" s="341" t="s">
        <v>40</v>
      </c>
      <c r="V25" s="341" t="s">
        <v>975</v>
      </c>
      <c r="W25" s="341" t="s">
        <v>46</v>
      </c>
      <c r="X25" s="341">
        <f t="shared" si="0"/>
      </c>
    </row>
    <row r="26" spans="1:24" ht="150" x14ac:dyDescent="0.2">
      <c r="A26" s="353" t="s">
        <v>76</v>
      </c>
      <c r="B26" s="353" t="s">
        <v>1061</v>
      </c>
      <c r="C26" s="341">
        <v>0</v>
      </c>
      <c r="D26" s="341">
        <v>1</v>
      </c>
      <c r="E26" s="341">
        <v>0</v>
      </c>
      <c r="F26" s="341">
        <v>0</v>
      </c>
      <c r="G26" s="341">
        <v>0</v>
      </c>
      <c r="H26" s="341">
        <v>0</v>
      </c>
      <c r="I26" s="341">
        <v>0</v>
      </c>
      <c r="J26" s="341">
        <v>1</v>
      </c>
      <c r="K26" s="341"/>
      <c r="L26" s="341" t="s">
        <v>131</v>
      </c>
      <c r="M26" s="341" t="s">
        <v>975</v>
      </c>
      <c r="N26" s="341" t="s">
        <v>975</v>
      </c>
      <c r="O26" s="341" t="s">
        <v>975</v>
      </c>
      <c r="P26" s="341" t="s">
        <v>975</v>
      </c>
      <c r="Q26" s="341" t="s">
        <v>975</v>
      </c>
      <c r="R26" s="341"/>
      <c r="S26" s="341" t="s">
        <v>1867</v>
      </c>
      <c r="T26" s="341" t="s">
        <v>975</v>
      </c>
      <c r="U26" s="341" t="s">
        <v>40</v>
      </c>
      <c r="V26" s="341" t="s">
        <v>975</v>
      </c>
      <c r="W26" s="341" t="s">
        <v>46</v>
      </c>
      <c r="X26" s="341">
        <f t="shared" si="0"/>
      </c>
    </row>
    <row r="27" spans="1:24" ht="135" x14ac:dyDescent="0.2">
      <c r="A27" s="341" t="s">
        <v>77</v>
      </c>
      <c r="B27" s="341" t="s">
        <v>71</v>
      </c>
      <c r="C27" s="341">
        <v>0</v>
      </c>
      <c r="D27" s="341">
        <v>1</v>
      </c>
      <c r="E27" s="341">
        <v>0</v>
      </c>
      <c r="F27" s="341">
        <v>0</v>
      </c>
      <c r="G27" s="341">
        <v>0</v>
      </c>
      <c r="H27" s="341">
        <v>0</v>
      </c>
      <c r="I27" s="341">
        <v>0</v>
      </c>
      <c r="J27" s="341">
        <v>1</v>
      </c>
      <c r="K27" s="341"/>
      <c r="L27" s="341" t="s">
        <v>131</v>
      </c>
      <c r="M27" s="341" t="s">
        <v>72</v>
      </c>
      <c r="N27" s="341" t="s">
        <v>975</v>
      </c>
      <c r="O27" s="341" t="s">
        <v>975</v>
      </c>
      <c r="P27" s="341" t="s">
        <v>73</v>
      </c>
      <c r="Q27" s="341" t="s">
        <v>1062</v>
      </c>
      <c r="R27" s="341"/>
      <c r="S27" s="341" t="s">
        <v>1414</v>
      </c>
      <c r="T27" s="341" t="s">
        <v>74</v>
      </c>
      <c r="U27" s="341" t="s">
        <v>40</v>
      </c>
      <c r="V27" s="341" t="s">
        <v>983</v>
      </c>
      <c r="W27" s="341" t="s">
        <v>75</v>
      </c>
      <c r="X27" s="341">
        <f t="shared" si="0"/>
      </c>
    </row>
    <row r="28" spans="1:24" ht="225" x14ac:dyDescent="0.2">
      <c r="A28" s="341" t="s">
        <v>80</v>
      </c>
      <c r="B28" s="341" t="s">
        <v>1063</v>
      </c>
      <c r="C28" s="341">
        <v>0</v>
      </c>
      <c r="D28" s="341">
        <v>1</v>
      </c>
      <c r="E28" s="341">
        <v>0</v>
      </c>
      <c r="F28" s="341">
        <v>0</v>
      </c>
      <c r="G28" s="341">
        <v>0</v>
      </c>
      <c r="H28" s="341">
        <v>0</v>
      </c>
      <c r="I28" s="341">
        <v>0</v>
      </c>
      <c r="J28" s="341">
        <v>1</v>
      </c>
      <c r="K28" s="341"/>
      <c r="L28" s="341" t="s">
        <v>131</v>
      </c>
      <c r="M28" s="341" t="s">
        <v>72</v>
      </c>
      <c r="N28" s="341" t="s">
        <v>975</v>
      </c>
      <c r="O28" s="341" t="s">
        <v>975</v>
      </c>
      <c r="P28" s="341" t="s">
        <v>78</v>
      </c>
      <c r="Q28" s="341" t="s">
        <v>79</v>
      </c>
      <c r="R28" s="341"/>
      <c r="S28" s="341" t="s">
        <v>1224</v>
      </c>
      <c r="T28" s="341" t="s">
        <v>1225</v>
      </c>
      <c r="U28" s="341" t="s">
        <v>40</v>
      </c>
      <c r="V28" s="341" t="s">
        <v>983</v>
      </c>
      <c r="W28" s="341" t="s">
        <v>75</v>
      </c>
      <c r="X28" s="341">
        <f t="shared" si="0"/>
      </c>
    </row>
    <row r="29" spans="1:24" ht="195" x14ac:dyDescent="0.2">
      <c r="A29" s="341" t="s">
        <v>84</v>
      </c>
      <c r="B29" s="341" t="s">
        <v>81</v>
      </c>
      <c r="C29" s="341">
        <v>0</v>
      </c>
      <c r="D29" s="341">
        <v>1</v>
      </c>
      <c r="E29" s="341">
        <v>0</v>
      </c>
      <c r="F29" s="341">
        <v>0</v>
      </c>
      <c r="G29" s="341">
        <v>0</v>
      </c>
      <c r="H29" s="341">
        <v>0</v>
      </c>
      <c r="I29" s="341">
        <v>0</v>
      </c>
      <c r="J29" s="341">
        <v>1</v>
      </c>
      <c r="K29" s="341"/>
      <c r="L29" s="341" t="s">
        <v>131</v>
      </c>
      <c r="M29" s="341" t="s">
        <v>72</v>
      </c>
      <c r="N29" s="341" t="s">
        <v>975</v>
      </c>
      <c r="O29" s="341" t="s">
        <v>975</v>
      </c>
      <c r="P29" s="341" t="s">
        <v>82</v>
      </c>
      <c r="Q29" s="341" t="s">
        <v>83</v>
      </c>
      <c r="R29" s="341"/>
      <c r="S29" s="341" t="s">
        <v>1226</v>
      </c>
      <c r="T29" s="341" t="s">
        <v>1227</v>
      </c>
      <c r="U29" s="341" t="s">
        <v>40</v>
      </c>
      <c r="V29" s="341" t="s">
        <v>983</v>
      </c>
      <c r="W29" s="341" t="s">
        <v>75</v>
      </c>
      <c r="X29" s="341">
        <f t="shared" si="0"/>
      </c>
    </row>
    <row r="30" spans="1:24" ht="195" x14ac:dyDescent="0.2">
      <c r="A30" s="341" t="s">
        <v>88</v>
      </c>
      <c r="B30" s="341" t="s">
        <v>85</v>
      </c>
      <c r="C30" s="341">
        <v>0</v>
      </c>
      <c r="D30" s="341">
        <v>1</v>
      </c>
      <c r="E30" s="341">
        <v>0</v>
      </c>
      <c r="F30" s="341">
        <v>0</v>
      </c>
      <c r="G30" s="341">
        <v>0</v>
      </c>
      <c r="H30" s="341">
        <v>0</v>
      </c>
      <c r="I30" s="341">
        <v>0</v>
      </c>
      <c r="J30" s="341">
        <v>1</v>
      </c>
      <c r="K30" s="341"/>
      <c r="L30" s="341" t="s">
        <v>131</v>
      </c>
      <c r="M30" s="341" t="s">
        <v>72</v>
      </c>
      <c r="N30" s="341" t="s">
        <v>975</v>
      </c>
      <c r="O30" s="341" t="s">
        <v>975</v>
      </c>
      <c r="P30" s="341" t="s">
        <v>86</v>
      </c>
      <c r="Q30" s="341" t="s">
        <v>87</v>
      </c>
      <c r="R30" s="341"/>
      <c r="S30" s="341" t="s">
        <v>1228</v>
      </c>
      <c r="T30" s="341" t="s">
        <v>1227</v>
      </c>
      <c r="U30" s="341" t="s">
        <v>40</v>
      </c>
      <c r="V30" s="341" t="s">
        <v>983</v>
      </c>
      <c r="W30" s="341" t="s">
        <v>75</v>
      </c>
      <c r="X30" s="341">
        <f t="shared" si="0"/>
      </c>
    </row>
    <row r="31" spans="1:24" ht="240" x14ac:dyDescent="0.2">
      <c r="A31" s="341" t="s">
        <v>92</v>
      </c>
      <c r="B31" s="341" t="s">
        <v>89</v>
      </c>
      <c r="C31" s="341">
        <v>0</v>
      </c>
      <c r="D31" s="341">
        <v>1</v>
      </c>
      <c r="E31" s="341">
        <v>0</v>
      </c>
      <c r="F31" s="341">
        <v>0</v>
      </c>
      <c r="G31" s="341">
        <v>0</v>
      </c>
      <c r="H31" s="341">
        <v>0</v>
      </c>
      <c r="I31" s="341">
        <v>0</v>
      </c>
      <c r="J31" s="341">
        <v>1</v>
      </c>
      <c r="K31" s="341"/>
      <c r="L31" s="341" t="s">
        <v>131</v>
      </c>
      <c r="M31" s="341" t="s">
        <v>72</v>
      </c>
      <c r="N31" s="341" t="s">
        <v>975</v>
      </c>
      <c r="O31" s="341" t="s">
        <v>975</v>
      </c>
      <c r="P31" s="341" t="s">
        <v>90</v>
      </c>
      <c r="Q31" s="341" t="s">
        <v>91</v>
      </c>
      <c r="R31" s="341"/>
      <c r="S31" s="341" t="s">
        <v>1229</v>
      </c>
      <c r="T31" s="341" t="s">
        <v>1230</v>
      </c>
      <c r="U31" s="341" t="s">
        <v>40</v>
      </c>
      <c r="V31" s="341" t="s">
        <v>983</v>
      </c>
      <c r="W31" s="341" t="s">
        <v>75</v>
      </c>
      <c r="X31" s="341">
        <f t="shared" si="0"/>
      </c>
    </row>
    <row r="32" spans="1:24" ht="60" x14ac:dyDescent="0.2">
      <c r="A32" s="224" t="s">
        <v>93</v>
      </c>
      <c r="B32" s="341" t="s">
        <v>1387</v>
      </c>
      <c r="C32" s="341">
        <v>0</v>
      </c>
      <c r="D32" s="341">
        <v>0</v>
      </c>
      <c r="E32" s="341">
        <v>0</v>
      </c>
      <c r="F32" s="341">
        <v>0</v>
      </c>
      <c r="G32" s="341">
        <v>1</v>
      </c>
      <c r="H32" s="341">
        <v>0</v>
      </c>
      <c r="I32" s="341">
        <v>0</v>
      </c>
      <c r="J32" s="341">
        <v>0</v>
      </c>
      <c r="K32" s="341" t="s">
        <v>22</v>
      </c>
      <c r="L32" s="341" t="s">
        <v>23</v>
      </c>
      <c r="M32" s="341" t="s">
        <v>983</v>
      </c>
      <c r="N32" s="341" t="s">
        <v>1231</v>
      </c>
      <c r="O32" s="341" t="s">
        <v>975</v>
      </c>
      <c r="P32" s="341" t="s">
        <v>975</v>
      </c>
      <c r="Q32" s="341" t="s">
        <v>975</v>
      </c>
      <c r="R32" s="341"/>
      <c r="S32" s="341" t="s">
        <v>975</v>
      </c>
      <c r="T32" s="341" t="s">
        <v>975</v>
      </c>
      <c r="U32" s="341" t="s">
        <v>1004</v>
      </c>
      <c r="V32" s="341" t="s">
        <v>975</v>
      </c>
      <c r="W32" s="341"/>
      <c r="X32" s="341"/>
    </row>
    <row r="33" spans="1:24" ht="60" x14ac:dyDescent="0.2">
      <c r="A33" s="224" t="s">
        <v>94</v>
      </c>
      <c r="B33" s="341" t="s">
        <v>1388</v>
      </c>
      <c r="C33" s="341">
        <v>0</v>
      </c>
      <c r="D33" s="341">
        <v>0</v>
      </c>
      <c r="E33" s="341">
        <v>0</v>
      </c>
      <c r="F33" s="341">
        <v>0</v>
      </c>
      <c r="G33" s="341">
        <v>1</v>
      </c>
      <c r="H33" s="341">
        <v>0</v>
      </c>
      <c r="I33" s="341">
        <v>0</v>
      </c>
      <c r="J33" s="341">
        <v>0</v>
      </c>
      <c r="K33" s="341" t="s">
        <v>22</v>
      </c>
      <c r="L33" s="341" t="s">
        <v>23</v>
      </c>
      <c r="M33" s="341" t="s">
        <v>983</v>
      </c>
      <c r="N33" s="341" t="s">
        <v>1231</v>
      </c>
      <c r="O33" s="341" t="s">
        <v>975</v>
      </c>
      <c r="P33" s="341" t="s">
        <v>975</v>
      </c>
      <c r="Q33" s="341" t="s">
        <v>975</v>
      </c>
      <c r="R33" s="341"/>
      <c r="S33" s="341" t="s">
        <v>975</v>
      </c>
      <c r="T33" s="341" t="s">
        <v>975</v>
      </c>
      <c r="U33" s="341" t="s">
        <v>1004</v>
      </c>
      <c r="V33" s="341" t="s">
        <v>975</v>
      </c>
      <c r="W33" s="341"/>
      <c r="X33" s="341"/>
    </row>
    <row r="34" spans="1:24" ht="60" x14ac:dyDescent="0.2">
      <c r="A34" s="224" t="s">
        <v>95</v>
      </c>
      <c r="B34" s="341" t="s">
        <v>1389</v>
      </c>
      <c r="C34" s="341">
        <v>0</v>
      </c>
      <c r="D34" s="341">
        <v>0</v>
      </c>
      <c r="E34" s="341">
        <v>0</v>
      </c>
      <c r="F34" s="341">
        <v>0</v>
      </c>
      <c r="G34" s="341">
        <v>1</v>
      </c>
      <c r="H34" s="341">
        <v>0</v>
      </c>
      <c r="I34" s="341">
        <v>0</v>
      </c>
      <c r="J34" s="341">
        <v>0</v>
      </c>
      <c r="K34" s="341" t="s">
        <v>22</v>
      </c>
      <c r="L34" s="341" t="s">
        <v>23</v>
      </c>
      <c r="M34" s="341" t="s">
        <v>983</v>
      </c>
      <c r="N34" s="341" t="s">
        <v>1231</v>
      </c>
      <c r="O34" s="341" t="s">
        <v>975</v>
      </c>
      <c r="P34" s="341" t="s">
        <v>975</v>
      </c>
      <c r="Q34" s="341" t="s">
        <v>975</v>
      </c>
      <c r="R34" s="341"/>
      <c r="S34" s="341" t="s">
        <v>975</v>
      </c>
      <c r="T34" s="341" t="s">
        <v>975</v>
      </c>
      <c r="U34" s="341" t="s">
        <v>1004</v>
      </c>
      <c r="V34" s="341" t="s">
        <v>975</v>
      </c>
      <c r="W34" s="341"/>
      <c r="X34" s="341"/>
    </row>
    <row r="35" spans="1:24" ht="60" x14ac:dyDescent="0.2">
      <c r="A35" s="224" t="s">
        <v>96</v>
      </c>
      <c r="B35" s="341" t="s">
        <v>1390</v>
      </c>
      <c r="C35" s="341">
        <v>0</v>
      </c>
      <c r="D35" s="341">
        <v>0</v>
      </c>
      <c r="E35" s="341">
        <v>0</v>
      </c>
      <c r="F35" s="341">
        <v>0</v>
      </c>
      <c r="G35" s="341">
        <v>1</v>
      </c>
      <c r="H35" s="341">
        <v>0</v>
      </c>
      <c r="I35" s="341">
        <v>0</v>
      </c>
      <c r="J35" s="341">
        <v>0</v>
      </c>
      <c r="K35" s="341" t="s">
        <v>22</v>
      </c>
      <c r="L35" s="341" t="s">
        <v>23</v>
      </c>
      <c r="M35" s="341" t="s">
        <v>983</v>
      </c>
      <c r="N35" s="341" t="s">
        <v>1231</v>
      </c>
      <c r="O35" s="341" t="s">
        <v>975</v>
      </c>
      <c r="P35" s="341" t="s">
        <v>975</v>
      </c>
      <c r="Q35" s="341" t="s">
        <v>975</v>
      </c>
      <c r="R35" s="341"/>
      <c r="S35" s="341" t="s">
        <v>975</v>
      </c>
      <c r="T35" s="341" t="s">
        <v>975</v>
      </c>
      <c r="U35" s="341" t="s">
        <v>1004</v>
      </c>
      <c r="V35" s="341" t="s">
        <v>975</v>
      </c>
      <c r="W35" s="341"/>
      <c r="X35" s="341"/>
    </row>
    <row r="36" spans="1:24" ht="60" x14ac:dyDescent="0.2">
      <c r="A36" s="224" t="s">
        <v>97</v>
      </c>
      <c r="B36" s="341" t="s">
        <v>102</v>
      </c>
      <c r="C36" s="341">
        <v>0</v>
      </c>
      <c r="D36" s="341">
        <v>0</v>
      </c>
      <c r="E36" s="341">
        <v>0</v>
      </c>
      <c r="F36" s="341">
        <v>0</v>
      </c>
      <c r="G36" s="341">
        <v>1</v>
      </c>
      <c r="H36" s="341">
        <v>0</v>
      </c>
      <c r="I36" s="341">
        <v>0</v>
      </c>
      <c r="J36" s="341">
        <v>0</v>
      </c>
      <c r="K36" s="341"/>
      <c r="L36" s="341" t="s">
        <v>23</v>
      </c>
      <c r="M36" s="341" t="s">
        <v>983</v>
      </c>
      <c r="N36" s="341" t="s">
        <v>1231</v>
      </c>
      <c r="O36" s="341" t="s">
        <v>1028</v>
      </c>
      <c r="P36" s="341" t="s">
        <v>1028</v>
      </c>
      <c r="Q36" s="341" t="s">
        <v>1028</v>
      </c>
      <c r="R36" s="341"/>
      <c r="S36" s="341" t="s">
        <v>975</v>
      </c>
      <c r="T36" s="341" t="s">
        <v>975</v>
      </c>
      <c r="U36" s="341" t="s">
        <v>1004</v>
      </c>
      <c r="V36" s="341" t="s">
        <v>975</v>
      </c>
      <c r="W36" s="341"/>
      <c r="X36" s="341"/>
    </row>
    <row r="37" spans="1:24" ht="300" x14ac:dyDescent="0.2">
      <c r="A37" s="354" t="s">
        <v>101</v>
      </c>
      <c r="B37" s="353" t="s">
        <v>1415</v>
      </c>
      <c r="C37" s="341">
        <v>0</v>
      </c>
      <c r="D37" s="341">
        <v>0</v>
      </c>
      <c r="E37" s="341">
        <v>0</v>
      </c>
      <c r="F37" s="341">
        <v>0</v>
      </c>
      <c r="G37" s="341">
        <v>1</v>
      </c>
      <c r="H37" s="341">
        <v>0</v>
      </c>
      <c r="I37" s="341">
        <v>0</v>
      </c>
      <c r="J37" s="341">
        <v>1</v>
      </c>
      <c r="K37" s="341"/>
      <c r="L37" s="341" t="s">
        <v>98</v>
      </c>
      <c r="M37" s="341" t="s">
        <v>72</v>
      </c>
      <c r="N37" s="341" t="s">
        <v>1231</v>
      </c>
      <c r="O37" s="341" t="s">
        <v>1416</v>
      </c>
      <c r="P37" s="341" t="s">
        <v>99</v>
      </c>
      <c r="Q37" s="341" t="s">
        <v>100</v>
      </c>
      <c r="R37" s="341"/>
      <c r="S37" s="341" t="s">
        <v>1232</v>
      </c>
      <c r="T37" s="341" t="s">
        <v>1417</v>
      </c>
      <c r="U37" s="341" t="s">
        <v>40</v>
      </c>
      <c r="V37" s="341" t="s">
        <v>983</v>
      </c>
      <c r="W37" s="341" t="s">
        <v>46</v>
      </c>
      <c r="X37" s="341">
        <f t="shared" si="0"/>
      </c>
    </row>
    <row r="38" spans="1:24" ht="80.25" customHeight="1" x14ac:dyDescent="0.2">
      <c r="A38" s="354" t="s">
        <v>103</v>
      </c>
      <c r="B38" s="353" t="s">
        <v>1163</v>
      </c>
      <c r="C38" s="341">
        <v>0</v>
      </c>
      <c r="D38" s="341">
        <v>0</v>
      </c>
      <c r="E38" s="341">
        <v>0</v>
      </c>
      <c r="F38" s="341">
        <v>0</v>
      </c>
      <c r="G38" s="341">
        <v>1</v>
      </c>
      <c r="H38" s="341">
        <v>0</v>
      </c>
      <c r="I38" s="341">
        <v>0</v>
      </c>
      <c r="J38" s="341">
        <v>0</v>
      </c>
      <c r="K38" s="341"/>
      <c r="L38" s="341" t="s">
        <v>98</v>
      </c>
      <c r="M38" s="341" t="s">
        <v>975</v>
      </c>
      <c r="N38" s="341" t="s">
        <v>1231</v>
      </c>
      <c r="O38" s="341" t="s">
        <v>975</v>
      </c>
      <c r="P38" s="341" t="s">
        <v>975</v>
      </c>
      <c r="Q38" s="341" t="s">
        <v>975</v>
      </c>
      <c r="R38" s="341"/>
      <c r="S38" s="341" t="s">
        <v>1496</v>
      </c>
      <c r="T38" s="341" t="s">
        <v>975</v>
      </c>
      <c r="U38" s="341" t="s">
        <v>40</v>
      </c>
      <c r="V38" s="341" t="s">
        <v>975</v>
      </c>
      <c r="W38" s="341" t="s">
        <v>46</v>
      </c>
      <c r="X38" s="341">
        <f t="shared" si="0"/>
      </c>
    </row>
    <row r="39" spans="1:24" ht="225" x14ac:dyDescent="0.2">
      <c r="A39" s="354" t="s">
        <v>106</v>
      </c>
      <c r="B39" s="353" t="s">
        <v>1164</v>
      </c>
      <c r="C39" s="341">
        <v>0</v>
      </c>
      <c r="D39" s="341">
        <v>0</v>
      </c>
      <c r="E39" s="341">
        <v>0</v>
      </c>
      <c r="F39" s="341">
        <v>0</v>
      </c>
      <c r="G39" s="341">
        <v>1</v>
      </c>
      <c r="H39" s="341">
        <v>0</v>
      </c>
      <c r="I39" s="341">
        <v>0</v>
      </c>
      <c r="J39" s="341">
        <v>0</v>
      </c>
      <c r="K39" s="341"/>
      <c r="L39" s="341" t="s">
        <v>98</v>
      </c>
      <c r="M39" s="341" t="s">
        <v>975</v>
      </c>
      <c r="N39" s="341" t="s">
        <v>1231</v>
      </c>
      <c r="O39" s="341" t="s">
        <v>1165</v>
      </c>
      <c r="P39" s="341" t="s">
        <v>1165</v>
      </c>
      <c r="Q39" s="341" t="s">
        <v>1165</v>
      </c>
      <c r="R39" s="341"/>
      <c r="S39" s="341" t="s">
        <v>1496</v>
      </c>
      <c r="T39" s="341" t="s">
        <v>975</v>
      </c>
      <c r="U39" s="341" t="s">
        <v>40</v>
      </c>
      <c r="V39" s="341" t="s">
        <v>975</v>
      </c>
      <c r="W39" s="341" t="s">
        <v>46</v>
      </c>
      <c r="X39" s="341">
        <f t="shared" si="0"/>
      </c>
    </row>
    <row r="40" spans="1:24" ht="120" x14ac:dyDescent="0.2">
      <c r="A40" s="354" t="s">
        <v>108</v>
      </c>
      <c r="B40" s="353" t="s">
        <v>984</v>
      </c>
      <c r="C40" s="341">
        <v>0</v>
      </c>
      <c r="D40" s="341">
        <v>0</v>
      </c>
      <c r="E40" s="341">
        <v>0</v>
      </c>
      <c r="F40" s="341">
        <v>0</v>
      </c>
      <c r="G40" s="341">
        <v>1</v>
      </c>
      <c r="H40" s="341">
        <v>0</v>
      </c>
      <c r="I40" s="341">
        <v>0</v>
      </c>
      <c r="J40" s="341">
        <v>0</v>
      </c>
      <c r="K40" s="341"/>
      <c r="L40" s="341" t="s">
        <v>98</v>
      </c>
      <c r="M40" s="341" t="s">
        <v>983</v>
      </c>
      <c r="N40" s="341" t="s">
        <v>1231</v>
      </c>
      <c r="O40" s="341" t="s">
        <v>1064</v>
      </c>
      <c r="P40" s="341" t="s">
        <v>121</v>
      </c>
      <c r="Q40" s="341" t="s">
        <v>122</v>
      </c>
      <c r="R40" s="341"/>
      <c r="S40" s="341" t="s">
        <v>975</v>
      </c>
      <c r="T40" s="341" t="s">
        <v>1065</v>
      </c>
      <c r="U40" s="341" t="s">
        <v>40</v>
      </c>
      <c r="V40" s="341" t="s">
        <v>983</v>
      </c>
      <c r="W40" s="341" t="s">
        <v>46</v>
      </c>
      <c r="X40" s="341">
        <f t="shared" si="0"/>
      </c>
    </row>
    <row r="41" spans="1:24" ht="225" x14ac:dyDescent="0.2">
      <c r="A41" s="224" t="s">
        <v>111</v>
      </c>
      <c r="B41" s="341" t="s">
        <v>1166</v>
      </c>
      <c r="C41" s="341">
        <v>0</v>
      </c>
      <c r="D41" s="341">
        <v>0</v>
      </c>
      <c r="E41" s="341">
        <v>0</v>
      </c>
      <c r="F41" s="341">
        <v>0</v>
      </c>
      <c r="G41" s="341">
        <v>1</v>
      </c>
      <c r="H41" s="341">
        <v>0</v>
      </c>
      <c r="I41" s="341">
        <v>0</v>
      </c>
      <c r="J41" s="341">
        <v>1</v>
      </c>
      <c r="K41" s="341"/>
      <c r="L41" s="341" t="s">
        <v>98</v>
      </c>
      <c r="M41" s="341" t="s">
        <v>72</v>
      </c>
      <c r="N41" s="341" t="s">
        <v>1231</v>
      </c>
      <c r="O41" s="341" t="s">
        <v>1066</v>
      </c>
      <c r="P41" s="341" t="s">
        <v>104</v>
      </c>
      <c r="Q41" s="341" t="s">
        <v>105</v>
      </c>
      <c r="R41" s="341"/>
      <c r="S41" s="341" t="s">
        <v>1167</v>
      </c>
      <c r="T41" s="341" t="s">
        <v>1418</v>
      </c>
      <c r="U41" s="341" t="s">
        <v>40</v>
      </c>
      <c r="V41" s="341" t="s">
        <v>983</v>
      </c>
      <c r="W41" s="341" t="s">
        <v>75</v>
      </c>
      <c r="X41" s="341">
        <f t="shared" si="0"/>
      </c>
    </row>
    <row r="42" spans="1:24" ht="180" x14ac:dyDescent="0.2">
      <c r="A42" s="224" t="s">
        <v>112</v>
      </c>
      <c r="B42" s="341" t="s">
        <v>1168</v>
      </c>
      <c r="C42" s="341">
        <v>0</v>
      </c>
      <c r="D42" s="341">
        <v>0</v>
      </c>
      <c r="E42" s="341">
        <v>0</v>
      </c>
      <c r="F42" s="341">
        <v>0</v>
      </c>
      <c r="G42" s="341">
        <v>1</v>
      </c>
      <c r="H42" s="341">
        <v>0</v>
      </c>
      <c r="I42" s="341">
        <v>0</v>
      </c>
      <c r="J42" s="341">
        <v>0</v>
      </c>
      <c r="K42" s="341"/>
      <c r="L42" s="341" t="s">
        <v>98</v>
      </c>
      <c r="M42" s="341" t="s">
        <v>983</v>
      </c>
      <c r="N42" s="341" t="s">
        <v>1231</v>
      </c>
      <c r="O42" s="341" t="s">
        <v>1502</v>
      </c>
      <c r="P42" s="341" t="s">
        <v>1501</v>
      </c>
      <c r="Q42" s="341" t="s">
        <v>107</v>
      </c>
      <c r="R42" s="341"/>
      <c r="S42" s="341" t="s">
        <v>1169</v>
      </c>
      <c r="T42" s="341" t="s">
        <v>975</v>
      </c>
      <c r="U42" s="341" t="s">
        <v>40</v>
      </c>
      <c r="V42" s="341" t="s">
        <v>983</v>
      </c>
      <c r="W42" s="341" t="s">
        <v>75</v>
      </c>
      <c r="X42" s="341">
        <f t="shared" si="0"/>
      </c>
    </row>
    <row r="43" spans="1:24" ht="328" x14ac:dyDescent="0.2">
      <c r="A43" s="224" t="s">
        <v>113</v>
      </c>
      <c r="B43" s="341" t="s">
        <v>109</v>
      </c>
      <c r="C43" s="341">
        <v>0</v>
      </c>
      <c r="D43" s="341">
        <v>0</v>
      </c>
      <c r="E43" s="341">
        <v>0</v>
      </c>
      <c r="F43" s="341">
        <v>0</v>
      </c>
      <c r="G43" s="341">
        <v>1</v>
      </c>
      <c r="H43" s="341">
        <v>0</v>
      </c>
      <c r="I43" s="341">
        <v>0</v>
      </c>
      <c r="J43" s="341">
        <v>0</v>
      </c>
      <c r="K43" s="341"/>
      <c r="L43" s="341" t="s">
        <v>98</v>
      </c>
      <c r="M43" s="341" t="s">
        <v>983</v>
      </c>
      <c r="N43" s="341" t="s">
        <v>1231</v>
      </c>
      <c r="O43" s="341" t="s">
        <v>975</v>
      </c>
      <c r="P43" s="341" t="s">
        <v>1170</v>
      </c>
      <c r="Q43" s="341" t="s">
        <v>110</v>
      </c>
      <c r="R43" s="341"/>
      <c r="S43" s="341" t="s">
        <v>1419</v>
      </c>
      <c r="T43" s="341" t="s">
        <v>975</v>
      </c>
      <c r="U43" s="341" t="s">
        <v>40</v>
      </c>
      <c r="V43" s="341" t="s">
        <v>983</v>
      </c>
      <c r="W43" s="341" t="s">
        <v>75</v>
      </c>
      <c r="X43" s="341">
        <f t="shared" si="0"/>
      </c>
    </row>
    <row r="44" spans="1:24" ht="180" x14ac:dyDescent="0.2">
      <c r="A44" s="224" t="s">
        <v>114</v>
      </c>
      <c r="B44" s="341" t="s">
        <v>1171</v>
      </c>
      <c r="C44" s="341">
        <v>0</v>
      </c>
      <c r="D44" s="341">
        <v>0</v>
      </c>
      <c r="E44" s="341">
        <v>0</v>
      </c>
      <c r="F44" s="341">
        <v>0</v>
      </c>
      <c r="G44" s="341">
        <v>1</v>
      </c>
      <c r="H44" s="341">
        <v>0</v>
      </c>
      <c r="I44" s="341">
        <v>0</v>
      </c>
      <c r="J44" s="341">
        <v>0</v>
      </c>
      <c r="K44" s="341"/>
      <c r="L44" s="341" t="s">
        <v>98</v>
      </c>
      <c r="M44" s="341" t="s">
        <v>983</v>
      </c>
      <c r="N44" s="341" t="s">
        <v>1231</v>
      </c>
      <c r="O44" s="341" t="s">
        <v>1172</v>
      </c>
      <c r="P44" s="341" t="s">
        <v>1173</v>
      </c>
      <c r="Q44" s="341" t="s">
        <v>1500</v>
      </c>
      <c r="R44" s="341"/>
      <c r="S44" s="341" t="s">
        <v>1233</v>
      </c>
      <c r="T44" s="341" t="s">
        <v>975</v>
      </c>
      <c r="U44" s="341" t="s">
        <v>40</v>
      </c>
      <c r="V44" s="341" t="s">
        <v>983</v>
      </c>
      <c r="W44" s="341" t="s">
        <v>75</v>
      </c>
      <c r="X44" s="341">
        <f t="shared" si="0"/>
      </c>
    </row>
    <row r="45" spans="1:24" ht="210" x14ac:dyDescent="0.2">
      <c r="A45" s="224" t="s">
        <v>116</v>
      </c>
      <c r="B45" s="341" t="s">
        <v>115</v>
      </c>
      <c r="C45" s="341">
        <v>0</v>
      </c>
      <c r="D45" s="341">
        <v>0</v>
      </c>
      <c r="E45" s="341">
        <v>0</v>
      </c>
      <c r="F45" s="341">
        <v>0</v>
      </c>
      <c r="G45" s="341">
        <v>1</v>
      </c>
      <c r="H45" s="341">
        <v>0</v>
      </c>
      <c r="I45" s="341">
        <v>0</v>
      </c>
      <c r="J45" s="341">
        <v>0</v>
      </c>
      <c r="K45" s="341"/>
      <c r="L45" s="341" t="s">
        <v>98</v>
      </c>
      <c r="M45" s="341" t="s">
        <v>983</v>
      </c>
      <c r="N45" s="341" t="s">
        <v>1231</v>
      </c>
      <c r="O45" s="341" t="s">
        <v>1420</v>
      </c>
      <c r="P45" s="341" t="s">
        <v>1174</v>
      </c>
      <c r="Q45" s="341" t="s">
        <v>1067</v>
      </c>
      <c r="R45" s="341"/>
      <c r="S45" s="341" t="s">
        <v>1234</v>
      </c>
      <c r="T45" s="341" t="s">
        <v>1235</v>
      </c>
      <c r="U45" s="341" t="s">
        <v>40</v>
      </c>
      <c r="V45" s="341" t="s">
        <v>983</v>
      </c>
      <c r="W45" s="341" t="s">
        <v>75</v>
      </c>
      <c r="X45" s="341">
        <f t="shared" si="0"/>
      </c>
    </row>
    <row r="46" spans="1:24" ht="270" x14ac:dyDescent="0.2">
      <c r="A46" s="224" t="s">
        <v>120</v>
      </c>
      <c r="B46" s="341" t="s">
        <v>117</v>
      </c>
      <c r="C46" s="341">
        <v>0</v>
      </c>
      <c r="D46" s="341">
        <v>0</v>
      </c>
      <c r="E46" s="341">
        <v>0</v>
      </c>
      <c r="F46" s="341">
        <v>0</v>
      </c>
      <c r="G46" s="341">
        <v>1</v>
      </c>
      <c r="H46" s="341">
        <v>0</v>
      </c>
      <c r="I46" s="341">
        <v>0</v>
      </c>
      <c r="J46" s="341">
        <v>0</v>
      </c>
      <c r="K46" s="341"/>
      <c r="L46" s="341" t="s">
        <v>98</v>
      </c>
      <c r="M46" s="341" t="s">
        <v>983</v>
      </c>
      <c r="N46" s="341" t="s">
        <v>1231</v>
      </c>
      <c r="O46" s="341" t="s">
        <v>1421</v>
      </c>
      <c r="P46" s="341" t="s">
        <v>118</v>
      </c>
      <c r="Q46" s="341" t="s">
        <v>119</v>
      </c>
      <c r="R46" s="341"/>
      <c r="S46" s="341" t="s">
        <v>1236</v>
      </c>
      <c r="T46" s="341" t="s">
        <v>975</v>
      </c>
      <c r="U46" s="341" t="s">
        <v>40</v>
      </c>
      <c r="V46" s="341" t="s">
        <v>983</v>
      </c>
      <c r="W46" s="341" t="s">
        <v>75</v>
      </c>
      <c r="X46" s="341">
        <f t="shared" si="0"/>
      </c>
    </row>
    <row r="47" spans="1:24" ht="328" x14ac:dyDescent="0.2">
      <c r="A47" s="224" t="s">
        <v>123</v>
      </c>
      <c r="B47" s="341" t="s">
        <v>124</v>
      </c>
      <c r="C47" s="341">
        <v>0</v>
      </c>
      <c r="D47" s="341">
        <v>0</v>
      </c>
      <c r="E47" s="341">
        <v>0</v>
      </c>
      <c r="F47" s="341">
        <v>0</v>
      </c>
      <c r="G47" s="341">
        <v>1</v>
      </c>
      <c r="H47" s="341">
        <v>0</v>
      </c>
      <c r="I47" s="341">
        <v>0</v>
      </c>
      <c r="J47" s="341">
        <v>0</v>
      </c>
      <c r="K47" s="341"/>
      <c r="L47" s="341" t="s">
        <v>98</v>
      </c>
      <c r="M47" s="341" t="s">
        <v>983</v>
      </c>
      <c r="N47" s="341" t="s">
        <v>1231</v>
      </c>
      <c r="O47" s="341" t="s">
        <v>1498</v>
      </c>
      <c r="P47" s="341" t="s">
        <v>125</v>
      </c>
      <c r="Q47" s="341" t="s">
        <v>1499</v>
      </c>
      <c r="R47" s="341"/>
      <c r="S47" s="341" t="s">
        <v>1237</v>
      </c>
      <c r="U47" s="341" t="s">
        <v>40</v>
      </c>
      <c r="V47" s="341" t="s">
        <v>983</v>
      </c>
      <c r="W47" s="341" t="s">
        <v>75</v>
      </c>
      <c r="X47" s="341">
        <f t="shared" si="0"/>
      </c>
    </row>
    <row r="48" spans="1:24" ht="165" x14ac:dyDescent="0.2">
      <c r="A48" s="224" t="s">
        <v>126</v>
      </c>
      <c r="B48" s="341" t="s">
        <v>127</v>
      </c>
      <c r="C48" s="341">
        <v>0</v>
      </c>
      <c r="D48" s="341">
        <v>0</v>
      </c>
      <c r="E48" s="341">
        <v>0</v>
      </c>
      <c r="F48" s="341">
        <v>0</v>
      </c>
      <c r="G48" s="341">
        <v>1</v>
      </c>
      <c r="H48" s="341">
        <v>0</v>
      </c>
      <c r="I48" s="341">
        <v>0</v>
      </c>
      <c r="J48" s="341">
        <v>0</v>
      </c>
      <c r="K48" s="341"/>
      <c r="L48" s="341" t="s">
        <v>98</v>
      </c>
      <c r="M48" s="341" t="s">
        <v>983</v>
      </c>
      <c r="N48" s="341" t="s">
        <v>1231</v>
      </c>
      <c r="O48" s="341" t="s">
        <v>975</v>
      </c>
      <c r="P48" s="341" t="s">
        <v>1175</v>
      </c>
      <c r="Q48" s="341" t="s">
        <v>128</v>
      </c>
      <c r="R48" s="341"/>
      <c r="S48" s="341" t="s">
        <v>1068</v>
      </c>
      <c r="T48" s="341" t="s">
        <v>1487</v>
      </c>
      <c r="U48" s="341" t="s">
        <v>40</v>
      </c>
      <c r="V48" s="341" t="s">
        <v>983</v>
      </c>
      <c r="W48" s="341" t="s">
        <v>75</v>
      </c>
      <c r="X48" s="341">
        <f t="shared" si="0"/>
      </c>
    </row>
    <row r="49" spans="1:24" ht="240" x14ac:dyDescent="0.2">
      <c r="A49" s="224" t="s">
        <v>129</v>
      </c>
      <c r="B49" s="341" t="s">
        <v>1497</v>
      </c>
      <c r="C49" s="341">
        <v>0</v>
      </c>
      <c r="D49" s="341">
        <v>0</v>
      </c>
      <c r="E49" s="341">
        <v>0</v>
      </c>
      <c r="F49" s="341">
        <v>0</v>
      </c>
      <c r="G49" s="341">
        <v>1</v>
      </c>
      <c r="H49" s="341">
        <v>0</v>
      </c>
      <c r="I49" s="341">
        <v>0</v>
      </c>
      <c r="J49" s="341">
        <v>0</v>
      </c>
      <c r="K49" s="341"/>
      <c r="L49" s="341" t="s">
        <v>98</v>
      </c>
      <c r="M49" s="341" t="s">
        <v>983</v>
      </c>
      <c r="N49" s="341" t="s">
        <v>1231</v>
      </c>
      <c r="O49" s="341" t="s">
        <v>1069</v>
      </c>
      <c r="P49" s="341" t="s">
        <v>1069</v>
      </c>
      <c r="Q49" s="341" t="s">
        <v>1070</v>
      </c>
      <c r="R49" s="341"/>
      <c r="S49" s="341" t="s">
        <v>1422</v>
      </c>
      <c r="T49" s="341" t="s">
        <v>975</v>
      </c>
      <c r="U49" s="341" t="s">
        <v>148</v>
      </c>
      <c r="V49" s="341" t="s">
        <v>983</v>
      </c>
      <c r="W49" s="341" t="s">
        <v>75</v>
      </c>
      <c r="X49" s="341">
        <f t="shared" si="0"/>
      </c>
    </row>
    <row r="50" spans="1:24" ht="210" x14ac:dyDescent="0.2">
      <c r="A50" s="353" t="s">
        <v>130</v>
      </c>
      <c r="B50" s="353" t="s">
        <v>1071</v>
      </c>
      <c r="C50" s="341">
        <v>0</v>
      </c>
      <c r="D50" s="341">
        <v>1</v>
      </c>
      <c r="E50" s="341">
        <v>0</v>
      </c>
      <c r="F50" s="341">
        <v>0</v>
      </c>
      <c r="G50" s="341">
        <v>0</v>
      </c>
      <c r="H50" s="341">
        <v>0</v>
      </c>
      <c r="I50" s="341">
        <v>0</v>
      </c>
      <c r="J50" s="341">
        <v>1</v>
      </c>
      <c r="K50" s="341"/>
      <c r="L50" s="341" t="s">
        <v>131</v>
      </c>
      <c r="M50" s="341" t="s">
        <v>983</v>
      </c>
      <c r="N50" s="341" t="s">
        <v>975</v>
      </c>
      <c r="O50" s="341"/>
      <c r="P50" s="341" t="s">
        <v>132</v>
      </c>
      <c r="Q50" s="341" t="s">
        <v>133</v>
      </c>
      <c r="R50" s="349" t="s">
        <v>1565</v>
      </c>
      <c r="S50" s="341" t="s">
        <v>1238</v>
      </c>
      <c r="T50" s="341" t="s">
        <v>1239</v>
      </c>
      <c r="U50" s="341" t="s">
        <v>40</v>
      </c>
      <c r="V50" s="341" t="s">
        <v>983</v>
      </c>
      <c r="W50" s="341" t="s">
        <v>46</v>
      </c>
      <c r="X50" s="341">
        <f t="shared" si="0"/>
      </c>
    </row>
    <row r="51" spans="1:24" ht="120" x14ac:dyDescent="0.2">
      <c r="A51" s="353" t="s">
        <v>134</v>
      </c>
      <c r="B51" s="353" t="s">
        <v>1423</v>
      </c>
      <c r="C51" s="341">
        <v>0</v>
      </c>
      <c r="D51" s="341">
        <v>1</v>
      </c>
      <c r="E51" s="341">
        <v>0</v>
      </c>
      <c r="F51" s="341">
        <v>0</v>
      </c>
      <c r="G51" s="341">
        <v>0</v>
      </c>
      <c r="H51" s="341">
        <v>0</v>
      </c>
      <c r="I51" s="341">
        <v>0</v>
      </c>
      <c r="J51" s="341">
        <v>1</v>
      </c>
      <c r="K51" s="341"/>
      <c r="L51" s="341" t="s">
        <v>131</v>
      </c>
      <c r="M51" s="341" t="s">
        <v>983</v>
      </c>
      <c r="N51" s="341" t="s">
        <v>975</v>
      </c>
      <c r="O51" s="341" t="s">
        <v>1399</v>
      </c>
      <c r="P51" s="341" t="s">
        <v>1399</v>
      </c>
      <c r="Q51" s="341" t="s">
        <v>1399</v>
      </c>
      <c r="R51" s="349" t="s">
        <v>1565</v>
      </c>
      <c r="S51" s="341" t="s">
        <v>1868</v>
      </c>
      <c r="T51" s="341" t="s">
        <v>135</v>
      </c>
      <c r="U51" s="341" t="s">
        <v>40</v>
      </c>
      <c r="V51" s="341" t="s">
        <v>983</v>
      </c>
      <c r="W51" s="341" t="s">
        <v>46</v>
      </c>
      <c r="X51" s="341">
        <f t="shared" si="0"/>
      </c>
    </row>
    <row r="52" spans="1:24" ht="90" x14ac:dyDescent="0.2">
      <c r="A52" s="353" t="s">
        <v>136</v>
      </c>
      <c r="B52" s="353" t="s">
        <v>1424</v>
      </c>
      <c r="C52" s="341">
        <v>0</v>
      </c>
      <c r="D52" s="341">
        <v>1</v>
      </c>
      <c r="E52" s="341">
        <v>0</v>
      </c>
      <c r="F52" s="341">
        <v>0</v>
      </c>
      <c r="G52" s="341">
        <v>0</v>
      </c>
      <c r="H52" s="341">
        <v>0</v>
      </c>
      <c r="I52" s="341">
        <v>0</v>
      </c>
      <c r="J52" s="341">
        <v>1</v>
      </c>
      <c r="K52" s="341"/>
      <c r="L52" s="341" t="s">
        <v>131</v>
      </c>
      <c r="M52" s="341" t="s">
        <v>983</v>
      </c>
      <c r="N52" s="341" t="s">
        <v>975</v>
      </c>
      <c r="O52" s="341" t="s">
        <v>975</v>
      </c>
      <c r="P52" s="341" t="s">
        <v>975</v>
      </c>
      <c r="Q52" s="341" t="s">
        <v>975</v>
      </c>
      <c r="R52" s="349" t="s">
        <v>1565</v>
      </c>
      <c r="S52" s="341" t="s">
        <v>1869</v>
      </c>
      <c r="T52" s="341" t="s">
        <v>1072</v>
      </c>
      <c r="U52" s="341" t="s">
        <v>40</v>
      </c>
      <c r="V52" s="341" t="s">
        <v>983</v>
      </c>
      <c r="W52" s="341" t="s">
        <v>46</v>
      </c>
      <c r="X52" s="341">
        <f t="shared" si="0"/>
      </c>
    </row>
    <row r="53" spans="1:24" ht="384" x14ac:dyDescent="0.2">
      <c r="A53" s="353" t="s">
        <v>137</v>
      </c>
      <c r="B53" s="353" t="s">
        <v>985</v>
      </c>
      <c r="C53" s="341">
        <v>0</v>
      </c>
      <c r="D53" s="341">
        <v>1</v>
      </c>
      <c r="E53" s="341">
        <v>0</v>
      </c>
      <c r="F53" s="341">
        <v>0</v>
      </c>
      <c r="G53" s="341">
        <v>0</v>
      </c>
      <c r="H53" s="341">
        <v>0</v>
      </c>
      <c r="I53" s="341">
        <v>0</v>
      </c>
      <c r="J53" s="341">
        <v>1</v>
      </c>
      <c r="K53" s="341"/>
      <c r="L53" s="341" t="s">
        <v>131</v>
      </c>
      <c r="M53" s="341" t="s">
        <v>983</v>
      </c>
      <c r="N53" s="341" t="s">
        <v>975</v>
      </c>
      <c r="O53" s="341" t="s">
        <v>1240</v>
      </c>
      <c r="P53" s="341" t="s">
        <v>138</v>
      </c>
      <c r="Q53" s="341" t="s">
        <v>139</v>
      </c>
      <c r="R53" s="349" t="s">
        <v>1565</v>
      </c>
      <c r="S53" s="341" t="s">
        <v>1241</v>
      </c>
      <c r="T53" s="341" t="s">
        <v>1242</v>
      </c>
      <c r="U53" s="341" t="s">
        <v>40</v>
      </c>
      <c r="V53" s="341" t="s">
        <v>983</v>
      </c>
      <c r="W53" s="341" t="s">
        <v>46</v>
      </c>
      <c r="X53" s="341">
        <f t="shared" si="0"/>
      </c>
    </row>
    <row r="54" spans="1:24" ht="210" x14ac:dyDescent="0.2">
      <c r="A54" s="341" t="s">
        <v>140</v>
      </c>
      <c r="B54" s="341" t="s">
        <v>1073</v>
      </c>
      <c r="C54" s="341">
        <v>0</v>
      </c>
      <c r="D54" s="341">
        <v>1</v>
      </c>
      <c r="E54" s="341">
        <v>0</v>
      </c>
      <c r="F54" s="341">
        <v>0</v>
      </c>
      <c r="G54" s="341">
        <v>0</v>
      </c>
      <c r="H54" s="341">
        <v>0</v>
      </c>
      <c r="I54" s="341">
        <v>0</v>
      </c>
      <c r="J54" s="341">
        <v>0</v>
      </c>
      <c r="K54" s="341"/>
      <c r="L54" s="341" t="s">
        <v>131</v>
      </c>
      <c r="M54" s="341" t="s">
        <v>983</v>
      </c>
      <c r="N54" s="341" t="s">
        <v>975</v>
      </c>
      <c r="O54" s="341" t="s">
        <v>141</v>
      </c>
      <c r="P54" s="341" t="s">
        <v>142</v>
      </c>
      <c r="Q54" s="341" t="s">
        <v>143</v>
      </c>
      <c r="R54" s="341"/>
      <c r="S54" s="341" t="s">
        <v>1243</v>
      </c>
      <c r="T54" s="341" t="s">
        <v>144</v>
      </c>
      <c r="U54" s="341" t="s">
        <v>40</v>
      </c>
      <c r="V54" s="341" t="s">
        <v>983</v>
      </c>
      <c r="W54" s="341" t="s">
        <v>75</v>
      </c>
      <c r="X54" s="341">
        <f t="shared" si="0"/>
      </c>
    </row>
    <row r="55" spans="1:24" ht="165" x14ac:dyDescent="0.2">
      <c r="A55" s="353" t="s">
        <v>145</v>
      </c>
      <c r="B55" s="353" t="s">
        <v>986</v>
      </c>
      <c r="C55" s="341">
        <v>0</v>
      </c>
      <c r="D55" s="341">
        <v>0</v>
      </c>
      <c r="E55" s="341">
        <v>0</v>
      </c>
      <c r="F55" s="341">
        <v>0</v>
      </c>
      <c r="G55" s="341">
        <v>0</v>
      </c>
      <c r="H55" s="341">
        <v>1</v>
      </c>
      <c r="I55" s="341">
        <v>0</v>
      </c>
      <c r="J55" s="341">
        <v>1</v>
      </c>
      <c r="K55" s="341"/>
      <c r="L55" s="341" t="s">
        <v>147</v>
      </c>
      <c r="M55" s="341" t="s">
        <v>983</v>
      </c>
      <c r="N55" s="341" t="s">
        <v>1244</v>
      </c>
      <c r="O55" s="341" t="s">
        <v>975</v>
      </c>
      <c r="P55" s="341" t="s">
        <v>975</v>
      </c>
      <c r="Q55" s="341" t="s">
        <v>975</v>
      </c>
      <c r="R55" s="341"/>
      <c r="S55" s="341" t="s">
        <v>1074</v>
      </c>
      <c r="T55" s="341" t="s">
        <v>34</v>
      </c>
      <c r="U55" s="341" t="s">
        <v>148</v>
      </c>
      <c r="V55" s="341" t="s">
        <v>983</v>
      </c>
      <c r="W55" s="341" t="s">
        <v>46</v>
      </c>
      <c r="X55" s="341">
        <f t="shared" si="0"/>
      </c>
    </row>
    <row r="56" spans="1:24" ht="165" x14ac:dyDescent="0.2">
      <c r="A56" s="353" t="s">
        <v>149</v>
      </c>
      <c r="B56" s="353" t="s">
        <v>987</v>
      </c>
      <c r="C56" s="341">
        <v>0</v>
      </c>
      <c r="D56" s="341">
        <v>0</v>
      </c>
      <c r="E56" s="341">
        <v>0</v>
      </c>
      <c r="F56" s="341">
        <v>0</v>
      </c>
      <c r="G56" s="341">
        <v>0</v>
      </c>
      <c r="H56" s="341">
        <v>1</v>
      </c>
      <c r="I56" s="341">
        <v>0</v>
      </c>
      <c r="J56" s="341">
        <v>1</v>
      </c>
      <c r="K56" s="341"/>
      <c r="L56" s="341" t="s">
        <v>147</v>
      </c>
      <c r="M56" s="341" t="s">
        <v>983</v>
      </c>
      <c r="N56" s="341" t="s">
        <v>1244</v>
      </c>
      <c r="O56" s="341" t="s">
        <v>975</v>
      </c>
      <c r="P56" s="341" t="s">
        <v>975</v>
      </c>
      <c r="Q56" s="341" t="s">
        <v>975</v>
      </c>
      <c r="R56" s="341"/>
      <c r="S56" s="341" t="s">
        <v>1074</v>
      </c>
      <c r="T56" s="341" t="s">
        <v>34</v>
      </c>
      <c r="U56" s="341" t="s">
        <v>40</v>
      </c>
      <c r="V56" s="341" t="s">
        <v>983</v>
      </c>
      <c r="W56" s="341" t="s">
        <v>46</v>
      </c>
      <c r="X56" s="341">
        <f t="shared" si="0"/>
      </c>
    </row>
    <row r="57" spans="1:24" ht="165" x14ac:dyDescent="0.2">
      <c r="A57" s="353" t="s">
        <v>150</v>
      </c>
      <c r="B57" s="353" t="s">
        <v>1425</v>
      </c>
      <c r="C57" s="341">
        <v>0</v>
      </c>
      <c r="D57" s="341">
        <v>0</v>
      </c>
      <c r="E57" s="341">
        <v>0</v>
      </c>
      <c r="F57" s="341">
        <v>0</v>
      </c>
      <c r="G57" s="341">
        <v>0</v>
      </c>
      <c r="H57" s="341">
        <v>1</v>
      </c>
      <c r="I57" s="341">
        <v>0</v>
      </c>
      <c r="J57" s="341">
        <v>1</v>
      </c>
      <c r="K57" s="341"/>
      <c r="L57" s="341" t="s">
        <v>147</v>
      </c>
      <c r="M57" s="341" t="s">
        <v>983</v>
      </c>
      <c r="N57" s="341" t="s">
        <v>1244</v>
      </c>
      <c r="O57" s="341" t="s">
        <v>975</v>
      </c>
      <c r="P57" s="341" t="s">
        <v>975</v>
      </c>
      <c r="Q57" s="341" t="s">
        <v>975</v>
      </c>
      <c r="R57" s="341" t="s">
        <v>1526</v>
      </c>
      <c r="S57" s="341" t="s">
        <v>1074</v>
      </c>
      <c r="T57" s="341" t="s">
        <v>34</v>
      </c>
      <c r="U57" s="341" t="s">
        <v>40</v>
      </c>
      <c r="V57" s="341" t="s">
        <v>983</v>
      </c>
      <c r="W57" s="341" t="s">
        <v>46</v>
      </c>
      <c r="X57" s="341">
        <f t="shared" si="0"/>
      </c>
    </row>
    <row r="58" spans="1:24" ht="165" x14ac:dyDescent="0.2">
      <c r="A58" s="353" t="s">
        <v>152</v>
      </c>
      <c r="B58" s="353" t="s">
        <v>1460</v>
      </c>
      <c r="C58" s="341">
        <v>0</v>
      </c>
      <c r="D58" s="341">
        <v>0</v>
      </c>
      <c r="E58" s="341">
        <v>0</v>
      </c>
      <c r="F58" s="341">
        <v>0</v>
      </c>
      <c r="G58" s="341">
        <v>0</v>
      </c>
      <c r="H58" s="341">
        <v>1</v>
      </c>
      <c r="I58" s="341">
        <v>0</v>
      </c>
      <c r="J58" s="341">
        <v>1</v>
      </c>
      <c r="K58" s="341"/>
      <c r="L58" s="341" t="s">
        <v>147</v>
      </c>
      <c r="M58" s="341" t="s">
        <v>983</v>
      </c>
      <c r="N58" s="341" t="s">
        <v>1244</v>
      </c>
      <c r="O58" s="341" t="s">
        <v>975</v>
      </c>
      <c r="P58" s="341" t="s">
        <v>975</v>
      </c>
      <c r="Q58" s="341" t="s">
        <v>975</v>
      </c>
      <c r="R58" s="341" t="s">
        <v>1526</v>
      </c>
      <c r="S58" s="341" t="s">
        <v>1074</v>
      </c>
      <c r="T58" s="341" t="s">
        <v>34</v>
      </c>
      <c r="U58" s="341" t="s">
        <v>40</v>
      </c>
      <c r="V58" s="341" t="s">
        <v>983</v>
      </c>
      <c r="W58" s="341" t="s">
        <v>46</v>
      </c>
      <c r="X58" s="341">
        <f t="shared" si="0"/>
      </c>
    </row>
    <row r="59" spans="1:24" ht="165" x14ac:dyDescent="0.2">
      <c r="A59" s="341" t="s">
        <v>154</v>
      </c>
      <c r="B59" s="341" t="s">
        <v>146</v>
      </c>
      <c r="C59" s="341">
        <v>0</v>
      </c>
      <c r="D59" s="341">
        <v>0</v>
      </c>
      <c r="E59" s="341">
        <v>0</v>
      </c>
      <c r="F59" s="341">
        <v>0</v>
      </c>
      <c r="G59" s="341">
        <v>0</v>
      </c>
      <c r="H59" s="341">
        <v>1</v>
      </c>
      <c r="I59" s="341">
        <v>0</v>
      </c>
      <c r="J59" s="341">
        <v>1</v>
      </c>
      <c r="K59" s="341"/>
      <c r="L59" s="341" t="s">
        <v>147</v>
      </c>
      <c r="M59" s="341" t="s">
        <v>983</v>
      </c>
      <c r="N59" s="341" t="s">
        <v>1244</v>
      </c>
      <c r="O59" s="341" t="s">
        <v>975</v>
      </c>
      <c r="P59" s="341" t="s">
        <v>975</v>
      </c>
      <c r="Q59" s="341" t="s">
        <v>975</v>
      </c>
      <c r="R59" s="341"/>
      <c r="S59" s="341" t="s">
        <v>1074</v>
      </c>
      <c r="T59" s="341" t="s">
        <v>34</v>
      </c>
      <c r="U59" s="341" t="s">
        <v>148</v>
      </c>
      <c r="V59" s="341" t="s">
        <v>983</v>
      </c>
      <c r="W59" s="341" t="s">
        <v>75</v>
      </c>
      <c r="X59" s="341">
        <f t="shared" si="0"/>
      </c>
    </row>
    <row r="60" spans="1:24" ht="165" x14ac:dyDescent="0.2">
      <c r="A60" s="341" t="s">
        <v>155</v>
      </c>
      <c r="B60" s="341" t="s">
        <v>151</v>
      </c>
      <c r="C60" s="341">
        <v>0</v>
      </c>
      <c r="D60" s="341">
        <v>0</v>
      </c>
      <c r="E60" s="341">
        <v>0</v>
      </c>
      <c r="F60" s="341">
        <v>0</v>
      </c>
      <c r="G60" s="341">
        <v>0</v>
      </c>
      <c r="H60" s="341">
        <v>1</v>
      </c>
      <c r="I60" s="341">
        <v>0</v>
      </c>
      <c r="J60" s="341">
        <v>1</v>
      </c>
      <c r="K60" s="341"/>
      <c r="L60" s="341" t="s">
        <v>147</v>
      </c>
      <c r="M60" s="341" t="s">
        <v>983</v>
      </c>
      <c r="N60" s="341" t="s">
        <v>1244</v>
      </c>
      <c r="O60" s="341" t="s">
        <v>975</v>
      </c>
      <c r="P60" s="341" t="s">
        <v>975</v>
      </c>
      <c r="Q60" s="341" t="s">
        <v>975</v>
      </c>
      <c r="R60" s="341"/>
      <c r="S60" s="341" t="s">
        <v>1074</v>
      </c>
      <c r="T60" s="341" t="s">
        <v>34</v>
      </c>
      <c r="U60" s="341" t="s">
        <v>148</v>
      </c>
      <c r="V60" s="341" t="s">
        <v>983</v>
      </c>
      <c r="W60" s="341" t="s">
        <v>75</v>
      </c>
      <c r="X60" s="341">
        <f t="shared" si="0"/>
      </c>
    </row>
    <row r="61" spans="1:24" ht="165" x14ac:dyDescent="0.2">
      <c r="A61" s="341" t="s">
        <v>157</v>
      </c>
      <c r="B61" s="341" t="s">
        <v>153</v>
      </c>
      <c r="C61" s="341">
        <v>0</v>
      </c>
      <c r="D61" s="341">
        <v>0</v>
      </c>
      <c r="E61" s="341">
        <v>0</v>
      </c>
      <c r="F61" s="341">
        <v>0</v>
      </c>
      <c r="G61" s="341">
        <v>0</v>
      </c>
      <c r="H61" s="341">
        <v>1</v>
      </c>
      <c r="I61" s="341">
        <v>0</v>
      </c>
      <c r="J61" s="341">
        <v>1</v>
      </c>
      <c r="K61" s="341"/>
      <c r="L61" s="341" t="s">
        <v>147</v>
      </c>
      <c r="M61" s="341" t="s">
        <v>983</v>
      </c>
      <c r="N61" s="341" t="s">
        <v>1244</v>
      </c>
      <c r="O61" s="341" t="s">
        <v>975</v>
      </c>
      <c r="P61" s="341" t="s">
        <v>975</v>
      </c>
      <c r="Q61" s="341" t="s">
        <v>975</v>
      </c>
      <c r="R61" s="341"/>
      <c r="S61" s="341" t="s">
        <v>1074</v>
      </c>
      <c r="T61" s="341" t="s">
        <v>34</v>
      </c>
      <c r="U61" s="341" t="s">
        <v>148</v>
      </c>
      <c r="V61" s="341" t="s">
        <v>983</v>
      </c>
      <c r="W61" s="341" t="s">
        <v>75</v>
      </c>
      <c r="X61" s="341">
        <f t="shared" si="0"/>
      </c>
    </row>
    <row r="62" spans="1:24" ht="165" x14ac:dyDescent="0.2">
      <c r="A62" s="341" t="s">
        <v>158</v>
      </c>
      <c r="B62" s="341" t="s">
        <v>156</v>
      </c>
      <c r="C62" s="341">
        <v>0</v>
      </c>
      <c r="D62" s="341">
        <v>0</v>
      </c>
      <c r="E62" s="341">
        <v>0</v>
      </c>
      <c r="F62" s="341">
        <v>0</v>
      </c>
      <c r="G62" s="341">
        <v>0</v>
      </c>
      <c r="H62" s="341">
        <v>1</v>
      </c>
      <c r="I62" s="341">
        <v>0</v>
      </c>
      <c r="J62" s="341">
        <v>1</v>
      </c>
      <c r="K62" s="341"/>
      <c r="L62" s="341" t="s">
        <v>147</v>
      </c>
      <c r="M62" s="341" t="s">
        <v>983</v>
      </c>
      <c r="N62" s="341" t="s">
        <v>1244</v>
      </c>
      <c r="O62" s="341" t="s">
        <v>975</v>
      </c>
      <c r="P62" s="341"/>
      <c r="Q62" s="341" t="s">
        <v>975</v>
      </c>
      <c r="R62" s="341"/>
      <c r="S62" s="341" t="s">
        <v>1074</v>
      </c>
      <c r="T62" s="341" t="s">
        <v>34</v>
      </c>
      <c r="U62" s="341" t="s">
        <v>148</v>
      </c>
      <c r="V62" s="341" t="s">
        <v>983</v>
      </c>
      <c r="W62" s="341" t="s">
        <v>75</v>
      </c>
      <c r="X62" s="341">
        <f t="shared" si="0"/>
      </c>
    </row>
    <row r="63" spans="1:24" ht="165" x14ac:dyDescent="0.2">
      <c r="A63" s="341" t="s">
        <v>160</v>
      </c>
      <c r="B63" s="341" t="s">
        <v>159</v>
      </c>
      <c r="C63" s="341">
        <v>0</v>
      </c>
      <c r="D63" s="341">
        <v>0</v>
      </c>
      <c r="E63" s="341">
        <v>0</v>
      </c>
      <c r="F63" s="341">
        <v>0</v>
      </c>
      <c r="G63" s="341">
        <v>0</v>
      </c>
      <c r="H63" s="341">
        <v>1</v>
      </c>
      <c r="I63" s="341">
        <v>0</v>
      </c>
      <c r="J63" s="341">
        <v>1</v>
      </c>
      <c r="K63" s="341"/>
      <c r="L63" s="341" t="s">
        <v>147</v>
      </c>
      <c r="M63" s="341" t="s">
        <v>983</v>
      </c>
      <c r="N63" s="341" t="s">
        <v>1244</v>
      </c>
      <c r="O63" s="341" t="s">
        <v>975</v>
      </c>
      <c r="P63" s="341"/>
      <c r="Q63" s="341" t="s">
        <v>975</v>
      </c>
      <c r="R63" s="341"/>
      <c r="S63" s="341" t="s">
        <v>1074</v>
      </c>
      <c r="T63" s="341" t="s">
        <v>34</v>
      </c>
      <c r="U63" s="341" t="s">
        <v>148</v>
      </c>
      <c r="V63" s="341" t="s">
        <v>983</v>
      </c>
      <c r="W63" s="341" t="s">
        <v>75</v>
      </c>
      <c r="X63" s="341">
        <f t="shared" si="0"/>
      </c>
    </row>
    <row r="64" spans="1:24" ht="210" x14ac:dyDescent="0.2">
      <c r="A64" s="353" t="s">
        <v>161</v>
      </c>
      <c r="B64" s="353" t="s">
        <v>988</v>
      </c>
      <c r="C64" s="341">
        <v>0</v>
      </c>
      <c r="D64" s="341">
        <v>0</v>
      </c>
      <c r="E64" s="341">
        <v>0</v>
      </c>
      <c r="F64" s="341">
        <v>1</v>
      </c>
      <c r="G64" s="341">
        <v>0</v>
      </c>
      <c r="H64" s="341">
        <v>0</v>
      </c>
      <c r="I64" s="341">
        <v>0</v>
      </c>
      <c r="J64" s="341">
        <v>1</v>
      </c>
      <c r="K64" s="341"/>
      <c r="L64" s="341" t="s">
        <v>162</v>
      </c>
      <c r="M64" s="341" t="s">
        <v>983</v>
      </c>
      <c r="N64" s="341" t="s">
        <v>1245</v>
      </c>
      <c r="O64" s="341" t="s">
        <v>163</v>
      </c>
      <c r="P64" s="341" t="s">
        <v>164</v>
      </c>
      <c r="Q64" s="341" t="s">
        <v>165</v>
      </c>
      <c r="R64" s="341"/>
      <c r="S64" s="341" t="s">
        <v>1206</v>
      </c>
      <c r="T64" s="341" t="s">
        <v>1246</v>
      </c>
      <c r="U64" s="341" t="s">
        <v>40</v>
      </c>
      <c r="V64" s="341" t="s">
        <v>983</v>
      </c>
      <c r="W64" s="341" t="s">
        <v>46</v>
      </c>
      <c r="X64" s="341">
        <f t="shared" si="0"/>
      </c>
    </row>
    <row r="65" spans="1:24" ht="225" x14ac:dyDescent="0.2">
      <c r="A65" s="353" t="s">
        <v>166</v>
      </c>
      <c r="B65" s="353" t="s">
        <v>989</v>
      </c>
      <c r="C65" s="341">
        <v>0</v>
      </c>
      <c r="D65" s="341">
        <v>0</v>
      </c>
      <c r="E65" s="341">
        <v>0</v>
      </c>
      <c r="F65" s="341">
        <v>1</v>
      </c>
      <c r="G65" s="341">
        <v>0</v>
      </c>
      <c r="H65" s="341">
        <v>0</v>
      </c>
      <c r="I65" s="341">
        <v>0</v>
      </c>
      <c r="J65" s="341">
        <v>0</v>
      </c>
      <c r="K65" s="341"/>
      <c r="L65" s="341" t="s">
        <v>162</v>
      </c>
      <c r="M65" s="341" t="s">
        <v>983</v>
      </c>
      <c r="N65" s="341" t="s">
        <v>1245</v>
      </c>
      <c r="O65" s="341" t="s">
        <v>975</v>
      </c>
      <c r="P65" s="341" t="s">
        <v>176</v>
      </c>
      <c r="Q65" s="341" t="s">
        <v>177</v>
      </c>
      <c r="R65" s="341"/>
      <c r="S65" s="341" t="s">
        <v>1247</v>
      </c>
      <c r="T65" s="341" t="s">
        <v>1248</v>
      </c>
      <c r="U65" s="341" t="s">
        <v>40</v>
      </c>
      <c r="V65" s="341" t="s">
        <v>983</v>
      </c>
      <c r="W65" s="341" t="s">
        <v>46</v>
      </c>
      <c r="X65" s="341">
        <f t="shared" si="0"/>
      </c>
    </row>
    <row r="66" spans="1:24" ht="210" x14ac:dyDescent="0.2">
      <c r="A66" s="353" t="s">
        <v>170</v>
      </c>
      <c r="B66" s="353" t="s">
        <v>990</v>
      </c>
      <c r="C66" s="341">
        <v>0</v>
      </c>
      <c r="D66" s="341">
        <v>0</v>
      </c>
      <c r="E66" s="341">
        <v>0</v>
      </c>
      <c r="F66" s="341">
        <v>1</v>
      </c>
      <c r="G66" s="341">
        <v>0</v>
      </c>
      <c r="H66" s="341">
        <v>0</v>
      </c>
      <c r="I66" s="341">
        <v>0</v>
      </c>
      <c r="J66" s="341">
        <v>0</v>
      </c>
      <c r="K66" s="341"/>
      <c r="L66" s="341" t="s">
        <v>162</v>
      </c>
      <c r="M66" s="341" t="s">
        <v>983</v>
      </c>
      <c r="N66" s="341" t="s">
        <v>1245</v>
      </c>
      <c r="O66" s="341" t="s">
        <v>183</v>
      </c>
      <c r="P66" s="341" t="s">
        <v>184</v>
      </c>
      <c r="Q66" s="341" t="s">
        <v>185</v>
      </c>
      <c r="R66" s="341"/>
      <c r="S66" s="341" t="s">
        <v>1391</v>
      </c>
      <c r="T66" s="341" t="s">
        <v>1249</v>
      </c>
      <c r="U66" s="341" t="s">
        <v>40</v>
      </c>
      <c r="V66" s="341" t="s">
        <v>983</v>
      </c>
      <c r="W66" s="341" t="s">
        <v>46</v>
      </c>
      <c r="X66" s="341">
        <f t="shared" si="0"/>
      </c>
    </row>
    <row r="67" spans="1:24" ht="90" x14ac:dyDescent="0.2">
      <c r="A67" s="353" t="s">
        <v>175</v>
      </c>
      <c r="B67" s="353" t="s">
        <v>1696</v>
      </c>
      <c r="C67" s="341">
        <v>0</v>
      </c>
      <c r="D67" s="341">
        <v>0</v>
      </c>
      <c r="E67" s="341">
        <v>0</v>
      </c>
      <c r="F67" s="341">
        <v>1</v>
      </c>
      <c r="G67" s="341">
        <v>0</v>
      </c>
      <c r="H67" s="341">
        <v>0</v>
      </c>
      <c r="I67" s="341">
        <v>0</v>
      </c>
      <c r="J67" s="341">
        <v>1</v>
      </c>
      <c r="K67" s="341"/>
      <c r="L67" s="341" t="s">
        <v>162</v>
      </c>
      <c r="M67" s="341" t="s">
        <v>983</v>
      </c>
      <c r="N67" s="341" t="s">
        <v>1245</v>
      </c>
      <c r="O67" s="341" t="s">
        <v>975</v>
      </c>
      <c r="P67" s="341" t="s">
        <v>192</v>
      </c>
      <c r="Q67" s="341" t="s">
        <v>193</v>
      </c>
      <c r="R67" s="341"/>
      <c r="S67" s="341" t="s">
        <v>194</v>
      </c>
      <c r="T67" s="341" t="s">
        <v>1250</v>
      </c>
      <c r="U67" s="341" t="s">
        <v>148</v>
      </c>
      <c r="V67" s="341" t="s">
        <v>983</v>
      </c>
      <c r="W67" s="341" t="s">
        <v>46</v>
      </c>
      <c r="X67" s="341">
        <f t="shared" si="0"/>
      </c>
    </row>
    <row r="68" spans="1:24" ht="255" x14ac:dyDescent="0.2">
      <c r="A68" s="353" t="s">
        <v>178</v>
      </c>
      <c r="B68" s="353" t="s">
        <v>991</v>
      </c>
      <c r="C68" s="341">
        <v>0</v>
      </c>
      <c r="D68" s="341">
        <v>0</v>
      </c>
      <c r="E68" s="341">
        <v>0</v>
      </c>
      <c r="F68" s="341">
        <v>1</v>
      </c>
      <c r="G68" s="341">
        <v>0</v>
      </c>
      <c r="H68" s="341">
        <v>0</v>
      </c>
      <c r="I68" s="341">
        <v>0</v>
      </c>
      <c r="J68" s="341">
        <v>0</v>
      </c>
      <c r="K68" s="341"/>
      <c r="L68" s="341" t="s">
        <v>162</v>
      </c>
      <c r="M68" s="341" t="s">
        <v>983</v>
      </c>
      <c r="N68" s="341" t="s">
        <v>1245</v>
      </c>
      <c r="O68" s="341" t="s">
        <v>975</v>
      </c>
      <c r="P68" s="341" t="s">
        <v>196</v>
      </c>
      <c r="Q68" s="341" t="s">
        <v>197</v>
      </c>
      <c r="R68" s="341"/>
      <c r="S68" s="341" t="s">
        <v>1251</v>
      </c>
      <c r="T68" s="341" t="s">
        <v>1252</v>
      </c>
      <c r="U68" s="341" t="s">
        <v>40</v>
      </c>
      <c r="V68" s="341" t="s">
        <v>983</v>
      </c>
      <c r="W68" s="341" t="s">
        <v>46</v>
      </c>
      <c r="X68" s="341">
        <f t="shared" si="0"/>
      </c>
    </row>
    <row r="69" spans="1:24" ht="240" x14ac:dyDescent="0.2">
      <c r="A69" s="353" t="s">
        <v>182</v>
      </c>
      <c r="B69" s="353" t="s">
        <v>992</v>
      </c>
      <c r="C69" s="341">
        <v>0</v>
      </c>
      <c r="D69" s="341">
        <v>0</v>
      </c>
      <c r="E69" s="341">
        <v>0</v>
      </c>
      <c r="F69" s="341">
        <v>1</v>
      </c>
      <c r="G69" s="341">
        <v>0</v>
      </c>
      <c r="H69" s="341">
        <v>0</v>
      </c>
      <c r="I69" s="341">
        <v>0</v>
      </c>
      <c r="J69" s="341">
        <v>0</v>
      </c>
      <c r="K69" s="341"/>
      <c r="L69" s="341" t="s">
        <v>162</v>
      </c>
      <c r="M69" s="341" t="s">
        <v>983</v>
      </c>
      <c r="N69" s="341" t="s">
        <v>1245</v>
      </c>
      <c r="O69" s="341" t="s">
        <v>975</v>
      </c>
      <c r="P69" s="341" t="s">
        <v>211</v>
      </c>
      <c r="Q69" s="341" t="s">
        <v>212</v>
      </c>
      <c r="R69" s="341"/>
      <c r="S69" s="341" t="s">
        <v>1253</v>
      </c>
      <c r="T69" s="341" t="s">
        <v>1254</v>
      </c>
      <c r="U69" s="341" t="s">
        <v>40</v>
      </c>
      <c r="V69" s="341" t="s">
        <v>983</v>
      </c>
      <c r="W69" s="341" t="s">
        <v>46</v>
      </c>
      <c r="X69" s="341">
        <f t="shared" si="0"/>
      </c>
    </row>
    <row r="70" spans="1:24" ht="135" x14ac:dyDescent="0.2">
      <c r="A70" s="353" t="s">
        <v>186</v>
      </c>
      <c r="B70" s="353" t="s">
        <v>993</v>
      </c>
      <c r="C70" s="341">
        <v>0</v>
      </c>
      <c r="D70" s="341">
        <v>0</v>
      </c>
      <c r="E70" s="341">
        <v>0</v>
      </c>
      <c r="F70" s="341">
        <v>1</v>
      </c>
      <c r="G70" s="341">
        <v>0</v>
      </c>
      <c r="H70" s="341">
        <v>0</v>
      </c>
      <c r="I70" s="341">
        <v>0</v>
      </c>
      <c r="J70" s="341">
        <v>0</v>
      </c>
      <c r="K70" s="341"/>
      <c r="L70" s="341" t="s">
        <v>162</v>
      </c>
      <c r="M70" s="341" t="s">
        <v>983</v>
      </c>
      <c r="N70" s="341" t="s">
        <v>1245</v>
      </c>
      <c r="O70" s="341" t="s">
        <v>975</v>
      </c>
      <c r="P70" s="341" t="s">
        <v>214</v>
      </c>
      <c r="Q70" s="341" t="s">
        <v>215</v>
      </c>
      <c r="R70" s="341"/>
      <c r="S70" s="341" t="s">
        <v>1255</v>
      </c>
      <c r="T70" s="341" t="s">
        <v>1256</v>
      </c>
      <c r="U70" s="341" t="s">
        <v>40</v>
      </c>
      <c r="V70" s="341" t="s">
        <v>983</v>
      </c>
      <c r="W70" s="341" t="s">
        <v>46</v>
      </c>
      <c r="X70" s="341">
        <f t="shared" si="0"/>
      </c>
    </row>
    <row r="71" spans="1:24" ht="225" x14ac:dyDescent="0.2">
      <c r="A71" s="341" t="s">
        <v>191</v>
      </c>
      <c r="B71" s="341" t="s">
        <v>167</v>
      </c>
      <c r="C71" s="341">
        <v>0</v>
      </c>
      <c r="D71" s="341">
        <v>0</v>
      </c>
      <c r="E71" s="341">
        <v>0</v>
      </c>
      <c r="F71" s="341">
        <v>1</v>
      </c>
      <c r="G71" s="341">
        <v>0</v>
      </c>
      <c r="H71" s="341">
        <v>0</v>
      </c>
      <c r="I71" s="341">
        <v>0</v>
      </c>
      <c r="J71" s="341">
        <v>1</v>
      </c>
      <c r="K71" s="341"/>
      <c r="L71" s="341" t="s">
        <v>162</v>
      </c>
      <c r="M71" s="341" t="s">
        <v>983</v>
      </c>
      <c r="N71" s="341" t="s">
        <v>1245</v>
      </c>
      <c r="O71" s="341" t="s">
        <v>168</v>
      </c>
      <c r="P71" s="341" t="s">
        <v>169</v>
      </c>
      <c r="Q71" s="341" t="s">
        <v>168</v>
      </c>
      <c r="R71" s="341"/>
      <c r="S71" s="341" t="s">
        <v>1257</v>
      </c>
      <c r="T71" s="341" t="s">
        <v>1258</v>
      </c>
      <c r="U71" s="341" t="s">
        <v>40</v>
      </c>
      <c r="V71" s="341" t="s">
        <v>983</v>
      </c>
      <c r="W71" s="341" t="s">
        <v>75</v>
      </c>
      <c r="X71" s="341">
        <f t="shared" si="0"/>
      </c>
    </row>
    <row r="72" spans="1:24" ht="225" x14ac:dyDescent="0.2">
      <c r="A72" s="341" t="s">
        <v>195</v>
      </c>
      <c r="B72" s="341" t="s">
        <v>171</v>
      </c>
      <c r="C72" s="341">
        <v>0</v>
      </c>
      <c r="D72" s="341">
        <v>0</v>
      </c>
      <c r="E72" s="341">
        <v>0</v>
      </c>
      <c r="F72" s="341">
        <v>1</v>
      </c>
      <c r="G72" s="341">
        <v>0</v>
      </c>
      <c r="H72" s="341">
        <v>0</v>
      </c>
      <c r="I72" s="341">
        <v>0</v>
      </c>
      <c r="J72" s="341">
        <v>0</v>
      </c>
      <c r="K72" s="341"/>
      <c r="L72" s="341" t="s">
        <v>162</v>
      </c>
      <c r="M72" s="341" t="s">
        <v>983</v>
      </c>
      <c r="N72" s="341" t="s">
        <v>1245</v>
      </c>
      <c r="O72" s="341" t="s">
        <v>975</v>
      </c>
      <c r="P72" s="341" t="s">
        <v>172</v>
      </c>
      <c r="Q72" s="341" t="s">
        <v>173</v>
      </c>
      <c r="R72" s="341"/>
      <c r="S72" s="341" t="s">
        <v>174</v>
      </c>
      <c r="T72" s="341" t="s">
        <v>1213</v>
      </c>
      <c r="U72" s="341" t="s">
        <v>40</v>
      </c>
      <c r="V72" s="341" t="s">
        <v>983</v>
      </c>
      <c r="W72" s="341" t="s">
        <v>75</v>
      </c>
      <c r="X72" s="341">
        <f t="shared" si="0"/>
      </c>
    </row>
    <row r="73" spans="1:24" ht="255" x14ac:dyDescent="0.2">
      <c r="A73" s="341" t="s">
        <v>198</v>
      </c>
      <c r="B73" s="341" t="s">
        <v>1862</v>
      </c>
      <c r="C73" s="341">
        <v>0</v>
      </c>
      <c r="D73" s="341">
        <v>0</v>
      </c>
      <c r="E73" s="341">
        <v>0</v>
      </c>
      <c r="F73" s="341">
        <v>1</v>
      </c>
      <c r="G73" s="341">
        <v>0</v>
      </c>
      <c r="H73" s="341">
        <v>0</v>
      </c>
      <c r="I73" s="341">
        <v>0</v>
      </c>
      <c r="J73" s="341">
        <v>0</v>
      </c>
      <c r="K73" s="341"/>
      <c r="L73" s="341" t="s">
        <v>162</v>
      </c>
      <c r="M73" s="341" t="s">
        <v>983</v>
      </c>
      <c r="N73" s="341" t="s">
        <v>1245</v>
      </c>
      <c r="O73" s="341" t="s">
        <v>179</v>
      </c>
      <c r="P73" s="341" t="s">
        <v>90</v>
      </c>
      <c r="Q73" s="341" t="s">
        <v>180</v>
      </c>
      <c r="R73" s="341"/>
      <c r="S73" s="341" t="s">
        <v>1259</v>
      </c>
      <c r="T73" s="341" t="s">
        <v>181</v>
      </c>
      <c r="U73" s="341" t="s">
        <v>40</v>
      </c>
      <c r="V73" s="341" t="s">
        <v>983</v>
      </c>
      <c r="W73" s="341" t="s">
        <v>75</v>
      </c>
      <c r="X73" s="341">
        <f t="shared" si="0"/>
      </c>
    </row>
    <row r="74" spans="1:24" ht="180" x14ac:dyDescent="0.2">
      <c r="A74" s="341" t="s">
        <v>202</v>
      </c>
      <c r="B74" s="341" t="s">
        <v>203</v>
      </c>
      <c r="C74" s="341">
        <v>0</v>
      </c>
      <c r="D74" s="341">
        <v>0</v>
      </c>
      <c r="E74" s="341">
        <v>0</v>
      </c>
      <c r="F74" s="341">
        <v>1</v>
      </c>
      <c r="G74" s="341">
        <v>0</v>
      </c>
      <c r="H74" s="341">
        <v>0</v>
      </c>
      <c r="I74" s="341">
        <v>0</v>
      </c>
      <c r="J74" s="341">
        <v>0</v>
      </c>
      <c r="K74" s="341"/>
      <c r="L74" s="341" t="s">
        <v>162</v>
      </c>
      <c r="M74" s="341" t="s">
        <v>983</v>
      </c>
      <c r="N74" s="341" t="s">
        <v>1245</v>
      </c>
      <c r="O74" s="341" t="s">
        <v>975</v>
      </c>
      <c r="P74" s="341" t="s">
        <v>204</v>
      </c>
      <c r="Q74" s="341" t="s">
        <v>205</v>
      </c>
      <c r="R74" s="341"/>
      <c r="S74" s="341" t="s">
        <v>1260</v>
      </c>
      <c r="T74" s="341" t="s">
        <v>1261</v>
      </c>
      <c r="U74" s="341" t="s">
        <v>40</v>
      </c>
      <c r="V74" s="341" t="s">
        <v>983</v>
      </c>
      <c r="W74" s="341" t="s">
        <v>75</v>
      </c>
      <c r="X74" s="341">
        <f t="shared" si="0"/>
      </c>
    </row>
    <row r="75" spans="1:24" ht="180" x14ac:dyDescent="0.2">
      <c r="A75" s="341" t="s">
        <v>206</v>
      </c>
      <c r="B75" s="341" t="s">
        <v>207</v>
      </c>
      <c r="C75" s="341">
        <v>0</v>
      </c>
      <c r="D75" s="341">
        <v>0</v>
      </c>
      <c r="E75" s="341">
        <v>0</v>
      </c>
      <c r="F75" s="341">
        <v>1</v>
      </c>
      <c r="G75" s="341">
        <v>0</v>
      </c>
      <c r="H75" s="341">
        <v>0</v>
      </c>
      <c r="I75" s="341">
        <v>0</v>
      </c>
      <c r="J75" s="341">
        <v>0</v>
      </c>
      <c r="K75" s="341"/>
      <c r="L75" s="341" t="s">
        <v>162</v>
      </c>
      <c r="M75" s="341" t="s">
        <v>983</v>
      </c>
      <c r="N75" s="341" t="s">
        <v>1245</v>
      </c>
      <c r="O75" s="341" t="s">
        <v>975</v>
      </c>
      <c r="P75" s="341" t="s">
        <v>208</v>
      </c>
      <c r="Q75" s="341" t="s">
        <v>209</v>
      </c>
      <c r="R75" s="341"/>
      <c r="S75" s="341" t="s">
        <v>1260</v>
      </c>
      <c r="T75" s="341" t="s">
        <v>1261</v>
      </c>
      <c r="U75" s="341" t="s">
        <v>40</v>
      </c>
      <c r="V75" s="341" t="s">
        <v>983</v>
      </c>
      <c r="W75" s="341" t="s">
        <v>75</v>
      </c>
      <c r="X75" s="341">
        <f t="shared" si="0"/>
      </c>
    </row>
    <row r="76" spans="1:24" ht="135" x14ac:dyDescent="0.2">
      <c r="A76" s="341" t="s">
        <v>210</v>
      </c>
      <c r="B76" s="341" t="s">
        <v>187</v>
      </c>
      <c r="C76" s="341">
        <v>0</v>
      </c>
      <c r="D76" s="341">
        <v>0</v>
      </c>
      <c r="E76" s="341">
        <v>0</v>
      </c>
      <c r="F76" s="341">
        <v>1</v>
      </c>
      <c r="G76" s="341">
        <v>0</v>
      </c>
      <c r="H76" s="341">
        <v>0</v>
      </c>
      <c r="I76" s="341">
        <v>0</v>
      </c>
      <c r="J76" s="341">
        <v>0</v>
      </c>
      <c r="K76" s="341"/>
      <c r="L76" s="341" t="s">
        <v>162</v>
      </c>
      <c r="M76" s="341" t="s">
        <v>983</v>
      </c>
      <c r="N76" s="341" t="s">
        <v>1245</v>
      </c>
      <c r="O76" s="341" t="s">
        <v>188</v>
      </c>
      <c r="P76" s="341" t="s">
        <v>1870</v>
      </c>
      <c r="Q76" s="341" t="s">
        <v>189</v>
      </c>
      <c r="R76" s="341" t="s">
        <v>1526</v>
      </c>
      <c r="S76" s="341" t="s">
        <v>190</v>
      </c>
      <c r="T76" s="341" t="s">
        <v>1262</v>
      </c>
      <c r="U76" s="341" t="s">
        <v>40</v>
      </c>
      <c r="V76" s="341" t="s">
        <v>983</v>
      </c>
      <c r="W76" s="341" t="s">
        <v>41</v>
      </c>
      <c r="X76" s="341">
        <f t="shared" ref="X76:X139" si="1">IF($W76="Critical Importance",20,IF($W76="Minor Importance",5,10))</f>
      </c>
    </row>
    <row r="77" spans="1:24" ht="180" x14ac:dyDescent="0.2">
      <c r="A77" s="341" t="s">
        <v>213</v>
      </c>
      <c r="B77" s="341" t="s">
        <v>199</v>
      </c>
      <c r="C77" s="341">
        <v>0</v>
      </c>
      <c r="D77" s="341">
        <v>0</v>
      </c>
      <c r="E77" s="341">
        <v>0</v>
      </c>
      <c r="F77" s="341">
        <v>1</v>
      </c>
      <c r="G77" s="341">
        <v>0</v>
      </c>
      <c r="H77" s="341">
        <v>0</v>
      </c>
      <c r="I77" s="341">
        <v>0</v>
      </c>
      <c r="J77" s="341">
        <v>0</v>
      </c>
      <c r="K77" s="341"/>
      <c r="L77" s="341" t="s">
        <v>162</v>
      </c>
      <c r="M77" s="341" t="s">
        <v>983</v>
      </c>
      <c r="N77" s="341" t="s">
        <v>1245</v>
      </c>
      <c r="O77" s="341" t="s">
        <v>975</v>
      </c>
      <c r="P77" s="341" t="s">
        <v>200</v>
      </c>
      <c r="Q77" s="341" t="s">
        <v>201</v>
      </c>
      <c r="R77" s="341"/>
      <c r="S77" s="341" t="s">
        <v>1871</v>
      </c>
      <c r="T77" s="341" t="s">
        <v>1263</v>
      </c>
      <c r="U77" s="341" t="s">
        <v>40</v>
      </c>
      <c r="V77" s="341" t="s">
        <v>983</v>
      </c>
      <c r="W77" s="341" t="s">
        <v>41</v>
      </c>
      <c r="X77" s="341">
        <f t="shared" si="1"/>
      </c>
    </row>
    <row r="78" spans="1:24" ht="195" x14ac:dyDescent="0.2">
      <c r="A78" s="353" t="s">
        <v>216</v>
      </c>
      <c r="B78" s="353" t="s">
        <v>994</v>
      </c>
      <c r="C78" s="341">
        <v>0</v>
      </c>
      <c r="D78" s="341">
        <v>0</v>
      </c>
      <c r="E78" s="341">
        <v>1</v>
      </c>
      <c r="F78" s="341">
        <v>0</v>
      </c>
      <c r="G78" s="341">
        <v>0</v>
      </c>
      <c r="H78" s="341">
        <v>0</v>
      </c>
      <c r="I78" s="341">
        <v>0</v>
      </c>
      <c r="J78" s="341">
        <v>1</v>
      </c>
      <c r="K78" s="341"/>
      <c r="L78" s="341" t="s">
        <v>4</v>
      </c>
      <c r="M78" s="341" t="s">
        <v>983</v>
      </c>
      <c r="N78" s="341" t="s">
        <v>1245</v>
      </c>
      <c r="O78" s="341" t="s">
        <v>1075</v>
      </c>
      <c r="P78" s="341" t="s">
        <v>217</v>
      </c>
      <c r="Q78" s="341" t="s">
        <v>218</v>
      </c>
      <c r="R78" s="341"/>
      <c r="S78" s="341" t="s">
        <v>219</v>
      </c>
      <c r="T78" s="341" t="s">
        <v>220</v>
      </c>
      <c r="U78" s="341" t="s">
        <v>40</v>
      </c>
      <c r="V78" s="341" t="s">
        <v>983</v>
      </c>
      <c r="W78" s="341" t="s">
        <v>46</v>
      </c>
      <c r="X78" s="341">
        <f t="shared" si="1"/>
      </c>
    </row>
    <row r="79" spans="1:24" ht="165" x14ac:dyDescent="0.2">
      <c r="A79" s="353" t="s">
        <v>221</v>
      </c>
      <c r="B79" s="353" t="s">
        <v>1530</v>
      </c>
      <c r="C79" s="341">
        <v>0</v>
      </c>
      <c r="D79" s="341">
        <v>0</v>
      </c>
      <c r="E79" s="341">
        <v>1</v>
      </c>
      <c r="F79" s="341">
        <v>0</v>
      </c>
      <c r="G79" s="341">
        <v>0</v>
      </c>
      <c r="H79" s="341">
        <v>0</v>
      </c>
      <c r="I79" s="341">
        <v>0</v>
      </c>
      <c r="J79" s="341">
        <v>1</v>
      </c>
      <c r="K79" s="341"/>
      <c r="L79" s="341" t="s">
        <v>4</v>
      </c>
      <c r="M79" s="341" t="s">
        <v>983</v>
      </c>
      <c r="N79" s="341" t="s">
        <v>1245</v>
      </c>
      <c r="O79" s="341" t="s">
        <v>975</v>
      </c>
      <c r="P79" s="341" t="s">
        <v>222</v>
      </c>
      <c r="Q79" s="341" t="s">
        <v>223</v>
      </c>
      <c r="R79" s="341" t="s">
        <v>1907</v>
      </c>
      <c r="S79" s="341" t="s">
        <v>1537</v>
      </c>
      <c r="T79" s="341" t="s">
        <v>224</v>
      </c>
      <c r="U79" s="341" t="s">
        <v>40</v>
      </c>
      <c r="V79" s="341" t="s">
        <v>983</v>
      </c>
      <c r="W79" s="341" t="s">
        <v>46</v>
      </c>
      <c r="X79" s="341">
        <f t="shared" si="1"/>
      </c>
    </row>
    <row r="80" spans="1:24" ht="165" x14ac:dyDescent="0.2">
      <c r="A80" s="353" t="s">
        <v>225</v>
      </c>
      <c r="B80" s="353" t="s">
        <v>1531</v>
      </c>
      <c r="C80" s="341">
        <v>0</v>
      </c>
      <c r="D80" s="341">
        <v>0</v>
      </c>
      <c r="E80" s="341">
        <v>1</v>
      </c>
      <c r="F80" s="341">
        <v>0</v>
      </c>
      <c r="G80" s="341">
        <v>0</v>
      </c>
      <c r="H80" s="341">
        <v>0</v>
      </c>
      <c r="I80" s="341">
        <v>0</v>
      </c>
      <c r="J80" s="341">
        <v>0</v>
      </c>
      <c r="K80" s="341"/>
      <c r="L80" s="341" t="s">
        <v>4</v>
      </c>
      <c r="M80" s="341" t="s">
        <v>983</v>
      </c>
      <c r="N80" s="341" t="s">
        <v>1245</v>
      </c>
      <c r="O80" s="341" t="s">
        <v>975</v>
      </c>
      <c r="P80" s="341" t="s">
        <v>227</v>
      </c>
      <c r="Q80" s="341" t="s">
        <v>228</v>
      </c>
      <c r="R80" s="341" t="s">
        <v>1907</v>
      </c>
      <c r="S80" s="341" t="s">
        <v>1538</v>
      </c>
      <c r="T80" s="341" t="s">
        <v>229</v>
      </c>
      <c r="U80" s="341" t="s">
        <v>40</v>
      </c>
      <c r="V80" s="341" t="s">
        <v>983</v>
      </c>
      <c r="W80" s="341" t="s">
        <v>46</v>
      </c>
      <c r="X80" s="341">
        <f t="shared" si="1"/>
      </c>
    </row>
    <row r="81" spans="1:24" ht="165" x14ac:dyDescent="0.2">
      <c r="A81" s="353" t="s">
        <v>226</v>
      </c>
      <c r="B81" s="353" t="s">
        <v>1532</v>
      </c>
      <c r="C81" s="341">
        <v>0</v>
      </c>
      <c r="D81" s="341">
        <v>0</v>
      </c>
      <c r="E81" s="341">
        <v>1</v>
      </c>
      <c r="F81" s="341">
        <v>0</v>
      </c>
      <c r="G81" s="341">
        <v>0</v>
      </c>
      <c r="H81" s="341">
        <v>0</v>
      </c>
      <c r="I81" s="341">
        <v>0</v>
      </c>
      <c r="J81" s="341">
        <v>0</v>
      </c>
      <c r="K81" s="341"/>
      <c r="L81" s="341" t="s">
        <v>4</v>
      </c>
      <c r="M81" s="341" t="s">
        <v>983</v>
      </c>
      <c r="N81" s="341" t="s">
        <v>1245</v>
      </c>
      <c r="O81" s="341" t="s">
        <v>1872</v>
      </c>
      <c r="P81" s="341" t="s">
        <v>975</v>
      </c>
      <c r="Q81" s="341" t="s">
        <v>231</v>
      </c>
      <c r="R81" s="341" t="s">
        <v>1907</v>
      </c>
      <c r="S81" s="341" t="s">
        <v>1538</v>
      </c>
      <c r="T81" s="341" t="s">
        <v>232</v>
      </c>
      <c r="U81" s="341" t="s">
        <v>148</v>
      </c>
      <c r="V81" s="341" t="s">
        <v>983</v>
      </c>
      <c r="W81" s="341" t="s">
        <v>46</v>
      </c>
      <c r="X81" s="341">
        <f t="shared" si="1"/>
      </c>
    </row>
    <row r="82" spans="1:24" ht="180" x14ac:dyDescent="0.2">
      <c r="A82" s="353" t="s">
        <v>230</v>
      </c>
      <c r="B82" s="353" t="s">
        <v>1533</v>
      </c>
      <c r="C82" s="341">
        <v>0</v>
      </c>
      <c r="D82" s="341">
        <v>0</v>
      </c>
      <c r="E82" s="341">
        <v>1</v>
      </c>
      <c r="F82" s="341">
        <v>0</v>
      </c>
      <c r="G82" s="341">
        <v>0</v>
      </c>
      <c r="H82" s="341">
        <v>0</v>
      </c>
      <c r="I82" s="341">
        <v>0</v>
      </c>
      <c r="J82" s="341">
        <v>0</v>
      </c>
      <c r="K82" s="341"/>
      <c r="L82" s="341" t="s">
        <v>4</v>
      </c>
      <c r="M82" s="341" t="s">
        <v>983</v>
      </c>
      <c r="N82" s="341" t="s">
        <v>1245</v>
      </c>
      <c r="O82" s="341" t="s">
        <v>975</v>
      </c>
      <c r="P82" s="341" t="s">
        <v>234</v>
      </c>
      <c r="Q82" s="341" t="s">
        <v>235</v>
      </c>
      <c r="R82" s="341" t="s">
        <v>1907</v>
      </c>
      <c r="S82" s="341" t="s">
        <v>1539</v>
      </c>
      <c r="T82" s="341" t="s">
        <v>1264</v>
      </c>
      <c r="U82" s="341" t="s">
        <v>40</v>
      </c>
      <c r="V82" s="341" t="s">
        <v>983</v>
      </c>
      <c r="W82" s="341" t="s">
        <v>46</v>
      </c>
      <c r="X82" s="341">
        <f t="shared" si="1"/>
      </c>
    </row>
    <row r="83" spans="1:24" ht="150" x14ac:dyDescent="0.2">
      <c r="A83" s="353" t="s">
        <v>233</v>
      </c>
      <c r="B83" s="353" t="s">
        <v>995</v>
      </c>
      <c r="C83" s="341">
        <v>0</v>
      </c>
      <c r="D83" s="341">
        <v>0</v>
      </c>
      <c r="E83" s="341">
        <v>1</v>
      </c>
      <c r="F83" s="341">
        <v>0</v>
      </c>
      <c r="G83" s="341">
        <v>0</v>
      </c>
      <c r="H83" s="341">
        <v>0</v>
      </c>
      <c r="I83" s="341">
        <v>0</v>
      </c>
      <c r="J83" s="341">
        <v>0</v>
      </c>
      <c r="K83" s="341"/>
      <c r="L83" s="341" t="s">
        <v>4</v>
      </c>
      <c r="M83" s="341" t="s">
        <v>983</v>
      </c>
      <c r="N83" s="341" t="s">
        <v>1245</v>
      </c>
      <c r="O83" s="341" t="s">
        <v>975</v>
      </c>
      <c r="P83" s="341" t="s">
        <v>237</v>
      </c>
      <c r="Q83" s="341" t="s">
        <v>238</v>
      </c>
      <c r="R83" s="341"/>
      <c r="S83" s="341" t="s">
        <v>1265</v>
      </c>
      <c r="T83" s="341" t="s">
        <v>1266</v>
      </c>
      <c r="U83" s="341" t="s">
        <v>40</v>
      </c>
      <c r="V83" s="341" t="s">
        <v>983</v>
      </c>
      <c r="W83" s="341" t="s">
        <v>46</v>
      </c>
      <c r="X83" s="341">
        <f t="shared" si="1"/>
      </c>
    </row>
    <row r="84" spans="1:24" ht="165" x14ac:dyDescent="0.2">
      <c r="A84" s="353" t="s">
        <v>236</v>
      </c>
      <c r="B84" s="353" t="s">
        <v>1176</v>
      </c>
      <c r="C84" s="341">
        <v>0</v>
      </c>
      <c r="D84" s="341">
        <v>0</v>
      </c>
      <c r="E84" s="341">
        <v>1</v>
      </c>
      <c r="F84" s="341">
        <v>0</v>
      </c>
      <c r="G84" s="341">
        <v>0</v>
      </c>
      <c r="H84" s="341">
        <v>0</v>
      </c>
      <c r="I84" s="341">
        <v>0</v>
      </c>
      <c r="J84" s="341">
        <v>0</v>
      </c>
      <c r="K84" s="341"/>
      <c r="L84" s="341" t="s">
        <v>4</v>
      </c>
      <c r="M84" s="341" t="s">
        <v>983</v>
      </c>
      <c r="N84" s="341" t="s">
        <v>1245</v>
      </c>
      <c r="O84" s="341" t="s">
        <v>975</v>
      </c>
      <c r="P84" s="341" t="s">
        <v>975</v>
      </c>
      <c r="Q84" s="341" t="s">
        <v>1177</v>
      </c>
      <c r="R84" s="341"/>
      <c r="S84" s="341" t="s">
        <v>1267</v>
      </c>
      <c r="T84" s="341" t="s">
        <v>1268</v>
      </c>
      <c r="U84" s="341" t="s">
        <v>148</v>
      </c>
      <c r="V84" s="341" t="s">
        <v>983</v>
      </c>
      <c r="W84" s="341" t="s">
        <v>46</v>
      </c>
      <c r="X84" s="341">
        <f t="shared" si="1"/>
      </c>
    </row>
    <row r="85" spans="1:24" ht="90" x14ac:dyDescent="0.2">
      <c r="A85" s="353" t="s">
        <v>239</v>
      </c>
      <c r="B85" s="353" t="s">
        <v>996</v>
      </c>
      <c r="C85" s="341">
        <v>0</v>
      </c>
      <c r="D85" s="341">
        <v>0</v>
      </c>
      <c r="E85" s="341">
        <v>1</v>
      </c>
      <c r="F85" s="341">
        <v>0</v>
      </c>
      <c r="G85" s="341">
        <v>0</v>
      </c>
      <c r="H85" s="341">
        <v>0</v>
      </c>
      <c r="I85" s="341">
        <v>0</v>
      </c>
      <c r="J85" s="341">
        <v>0</v>
      </c>
      <c r="K85" s="341"/>
      <c r="L85" s="341" t="s">
        <v>4</v>
      </c>
      <c r="M85" s="341" t="s">
        <v>983</v>
      </c>
      <c r="N85" s="341" t="s">
        <v>1245</v>
      </c>
      <c r="O85" s="341" t="s">
        <v>975</v>
      </c>
      <c r="P85" s="341" t="s">
        <v>975</v>
      </c>
      <c r="Q85" s="341" t="s">
        <v>262</v>
      </c>
      <c r="R85" s="341"/>
      <c r="S85" s="341" t="s">
        <v>263</v>
      </c>
      <c r="T85" s="341" t="s">
        <v>264</v>
      </c>
      <c r="U85" s="341" t="s">
        <v>148</v>
      </c>
      <c r="V85" s="341" t="s">
        <v>983</v>
      </c>
      <c r="W85" s="341" t="s">
        <v>46</v>
      </c>
      <c r="X85" s="341">
        <f t="shared" si="1"/>
      </c>
    </row>
    <row r="86" spans="1:24" ht="195" x14ac:dyDescent="0.2">
      <c r="A86" s="353" t="s">
        <v>242</v>
      </c>
      <c r="B86" s="353" t="s">
        <v>997</v>
      </c>
      <c r="C86" s="341">
        <v>0</v>
      </c>
      <c r="D86" s="341">
        <v>0</v>
      </c>
      <c r="E86" s="341">
        <v>1</v>
      </c>
      <c r="F86" s="341">
        <v>0</v>
      </c>
      <c r="G86" s="341">
        <v>0</v>
      </c>
      <c r="H86" s="341">
        <v>0</v>
      </c>
      <c r="I86" s="341">
        <v>0</v>
      </c>
      <c r="J86" s="341">
        <v>1</v>
      </c>
      <c r="K86" s="341"/>
      <c r="L86" s="341" t="s">
        <v>4</v>
      </c>
      <c r="M86" s="341" t="s">
        <v>983</v>
      </c>
      <c r="N86" s="341" t="s">
        <v>1245</v>
      </c>
      <c r="O86" s="341" t="s">
        <v>975</v>
      </c>
      <c r="P86" s="341" t="s">
        <v>269</v>
      </c>
      <c r="Q86" s="341" t="s">
        <v>975</v>
      </c>
      <c r="R86" s="341"/>
      <c r="S86" s="341" t="s">
        <v>270</v>
      </c>
      <c r="T86" s="341" t="s">
        <v>1269</v>
      </c>
      <c r="U86" s="341" t="s">
        <v>40</v>
      </c>
      <c r="V86" s="341" t="s">
        <v>983</v>
      </c>
      <c r="W86" s="341" t="s">
        <v>46</v>
      </c>
      <c r="X86" s="341">
        <f t="shared" si="1"/>
      </c>
    </row>
    <row r="87" spans="1:24" ht="240" x14ac:dyDescent="0.2">
      <c r="A87" s="353" t="s">
        <v>245</v>
      </c>
      <c r="B87" s="353" t="s">
        <v>1076</v>
      </c>
      <c r="C87" s="341">
        <v>0</v>
      </c>
      <c r="D87" s="341">
        <v>0</v>
      </c>
      <c r="E87" s="341">
        <v>1</v>
      </c>
      <c r="F87" s="341">
        <v>0</v>
      </c>
      <c r="G87" s="341">
        <v>0</v>
      </c>
      <c r="H87" s="341">
        <v>0</v>
      </c>
      <c r="I87" s="341">
        <v>0</v>
      </c>
      <c r="J87" s="341">
        <v>0</v>
      </c>
      <c r="K87" s="341"/>
      <c r="L87" s="341" t="s">
        <v>1004</v>
      </c>
      <c r="M87" s="341" t="s">
        <v>983</v>
      </c>
      <c r="N87" s="341" t="s">
        <v>1245</v>
      </c>
      <c r="O87" s="341" t="s">
        <v>1427</v>
      </c>
      <c r="P87" s="341" t="s">
        <v>1427</v>
      </c>
      <c r="Q87" s="341" t="s">
        <v>1427</v>
      </c>
      <c r="R87" s="341"/>
      <c r="S87" s="341" t="s">
        <v>272</v>
      </c>
      <c r="T87" s="341" t="s">
        <v>1269</v>
      </c>
      <c r="U87" s="341" t="s">
        <v>1004</v>
      </c>
      <c r="V87" s="341" t="s">
        <v>983</v>
      </c>
      <c r="W87" s="341"/>
      <c r="X87" s="341"/>
    </row>
    <row r="88" spans="1:24" ht="210" x14ac:dyDescent="0.2">
      <c r="A88" s="353" t="s">
        <v>249</v>
      </c>
      <c r="B88" s="353" t="s">
        <v>1426</v>
      </c>
      <c r="C88" s="341">
        <v>0</v>
      </c>
      <c r="D88" s="341">
        <v>0</v>
      </c>
      <c r="E88" s="341">
        <v>1</v>
      </c>
      <c r="F88" s="341">
        <v>0</v>
      </c>
      <c r="G88" s="341">
        <v>0</v>
      </c>
      <c r="H88" s="341">
        <v>0</v>
      </c>
      <c r="I88" s="341">
        <v>0</v>
      </c>
      <c r="J88" s="341">
        <v>1</v>
      </c>
      <c r="K88" s="341"/>
      <c r="L88" s="341" t="s">
        <v>4</v>
      </c>
      <c r="M88" s="341" t="s">
        <v>983</v>
      </c>
      <c r="N88" s="341" t="s">
        <v>1245</v>
      </c>
      <c r="O88" s="341" t="s">
        <v>1471</v>
      </c>
      <c r="P88" s="341" t="s">
        <v>1471</v>
      </c>
      <c r="Q88" s="341" t="s">
        <v>1471</v>
      </c>
      <c r="R88" s="341"/>
      <c r="S88" s="341" t="s">
        <v>1270</v>
      </c>
      <c r="T88" s="341" t="s">
        <v>273</v>
      </c>
      <c r="U88" s="341" t="s">
        <v>40</v>
      </c>
      <c r="V88" s="341" t="s">
        <v>983</v>
      </c>
      <c r="W88" s="341" t="s">
        <v>46</v>
      </c>
      <c r="X88" s="341">
        <f t="shared" si="1"/>
      </c>
    </row>
    <row r="89" spans="1:24" ht="255" x14ac:dyDescent="0.2">
      <c r="A89" s="341" t="s">
        <v>253</v>
      </c>
      <c r="B89" s="341" t="s">
        <v>1534</v>
      </c>
      <c r="C89" s="341">
        <v>0</v>
      </c>
      <c r="D89" s="341">
        <v>0</v>
      </c>
      <c r="E89" s="341">
        <v>1</v>
      </c>
      <c r="F89" s="341">
        <v>0</v>
      </c>
      <c r="G89" s="341">
        <v>0</v>
      </c>
      <c r="H89" s="341">
        <v>0</v>
      </c>
      <c r="I89" s="341">
        <v>0</v>
      </c>
      <c r="J89" s="341">
        <v>0</v>
      </c>
      <c r="K89" s="341"/>
      <c r="L89" s="341" t="s">
        <v>4</v>
      </c>
      <c r="M89" s="341" t="s">
        <v>983</v>
      </c>
      <c r="N89" s="341" t="s">
        <v>1245</v>
      </c>
      <c r="O89" s="341" t="s">
        <v>975</v>
      </c>
      <c r="P89" s="341" t="s">
        <v>240</v>
      </c>
      <c r="Q89" s="341" t="s">
        <v>241</v>
      </c>
      <c r="R89" s="341" t="s">
        <v>1907</v>
      </c>
      <c r="S89" s="341" t="s">
        <v>1540</v>
      </c>
      <c r="T89" s="341" t="s">
        <v>1271</v>
      </c>
      <c r="U89" s="341" t="s">
        <v>40</v>
      </c>
      <c r="V89" s="341" t="s">
        <v>983</v>
      </c>
      <c r="W89" s="341" t="s">
        <v>75</v>
      </c>
      <c r="X89" s="341">
        <f t="shared" si="1"/>
      </c>
    </row>
    <row r="90" spans="1:24" ht="135" x14ac:dyDescent="0.2">
      <c r="A90" s="341" t="s">
        <v>255</v>
      </c>
      <c r="B90" s="341" t="s">
        <v>250</v>
      </c>
      <c r="C90" s="341">
        <v>0</v>
      </c>
      <c r="D90" s="341">
        <v>0</v>
      </c>
      <c r="E90" s="341">
        <v>1</v>
      </c>
      <c r="F90" s="341">
        <v>0</v>
      </c>
      <c r="G90" s="341">
        <v>0</v>
      </c>
      <c r="H90" s="341">
        <v>0</v>
      </c>
      <c r="I90" s="341">
        <v>0</v>
      </c>
      <c r="J90" s="341">
        <v>0</v>
      </c>
      <c r="K90" s="341"/>
      <c r="L90" s="341" t="s">
        <v>4</v>
      </c>
      <c r="M90" s="341" t="s">
        <v>983</v>
      </c>
      <c r="N90" s="341" t="s">
        <v>1245</v>
      </c>
      <c r="O90" s="341" t="s">
        <v>975</v>
      </c>
      <c r="P90" s="341" t="s">
        <v>251</v>
      </c>
      <c r="Q90" s="341" t="s">
        <v>975</v>
      </c>
      <c r="R90" s="341"/>
      <c r="S90" s="341" t="s">
        <v>1272</v>
      </c>
      <c r="T90" s="341" t="s">
        <v>252</v>
      </c>
      <c r="U90" s="341" t="s">
        <v>40</v>
      </c>
      <c r="V90" s="341" t="s">
        <v>983</v>
      </c>
      <c r="W90" s="341" t="s">
        <v>75</v>
      </c>
      <c r="X90" s="341">
        <f t="shared" si="1"/>
      </c>
    </row>
    <row r="91" spans="1:24" ht="225" x14ac:dyDescent="0.2">
      <c r="A91" s="341" t="s">
        <v>260</v>
      </c>
      <c r="B91" s="341" t="s">
        <v>1535</v>
      </c>
      <c r="C91" s="341">
        <v>0</v>
      </c>
      <c r="D91" s="341">
        <v>0</v>
      </c>
      <c r="E91" s="341">
        <v>1</v>
      </c>
      <c r="F91" s="341">
        <v>0</v>
      </c>
      <c r="G91" s="341">
        <v>0</v>
      </c>
      <c r="H91" s="341">
        <v>0</v>
      </c>
      <c r="I91" s="341">
        <v>0</v>
      </c>
      <c r="J91" s="341">
        <v>0</v>
      </c>
      <c r="K91" s="341"/>
      <c r="L91" s="341" t="s">
        <v>4</v>
      </c>
      <c r="M91" s="341" t="s">
        <v>983</v>
      </c>
      <c r="N91" s="341" t="s">
        <v>1245</v>
      </c>
      <c r="O91" s="341" t="s">
        <v>975</v>
      </c>
      <c r="P91" s="341" t="s">
        <v>266</v>
      </c>
      <c r="Q91" s="341" t="s">
        <v>267</v>
      </c>
      <c r="R91" s="341" t="s">
        <v>1907</v>
      </c>
      <c r="S91" s="341" t="s">
        <v>1541</v>
      </c>
      <c r="T91" s="341" t="s">
        <v>1077</v>
      </c>
      <c r="U91" s="341" t="s">
        <v>40</v>
      </c>
      <c r="V91" s="341" t="s">
        <v>983</v>
      </c>
      <c r="W91" s="341" t="s">
        <v>75</v>
      </c>
      <c r="X91" s="341">
        <f t="shared" si="1"/>
      </c>
    </row>
    <row r="92" spans="1:24" ht="195" x14ac:dyDescent="0.2">
      <c r="A92" s="341" t="s">
        <v>261</v>
      </c>
      <c r="B92" s="341" t="s">
        <v>1078</v>
      </c>
      <c r="C92" s="341">
        <v>0</v>
      </c>
      <c r="D92" s="341">
        <v>0</v>
      </c>
      <c r="E92" s="341">
        <v>1</v>
      </c>
      <c r="F92" s="341">
        <v>0</v>
      </c>
      <c r="G92" s="341">
        <v>0</v>
      </c>
      <c r="H92" s="341">
        <v>0</v>
      </c>
      <c r="I92" s="341">
        <v>0</v>
      </c>
      <c r="J92" s="341">
        <v>0</v>
      </c>
      <c r="K92" s="341"/>
      <c r="L92" s="341" t="s">
        <v>4</v>
      </c>
      <c r="M92" s="341" t="s">
        <v>983</v>
      </c>
      <c r="N92" s="341" t="s">
        <v>1245</v>
      </c>
      <c r="O92" s="341" t="s">
        <v>1079</v>
      </c>
      <c r="P92" s="341" t="s">
        <v>243</v>
      </c>
      <c r="Q92" s="341" t="s">
        <v>244</v>
      </c>
      <c r="R92" s="341"/>
      <c r="S92" s="341" t="s">
        <v>219</v>
      </c>
      <c r="T92" s="341" t="s">
        <v>220</v>
      </c>
      <c r="U92" s="341" t="s">
        <v>40</v>
      </c>
      <c r="V92" s="341" t="s">
        <v>983</v>
      </c>
      <c r="W92" s="341" t="s">
        <v>41</v>
      </c>
      <c r="X92" s="341">
        <f t="shared" si="1"/>
      </c>
    </row>
    <row r="93" spans="1:24" ht="135" x14ac:dyDescent="0.2">
      <c r="A93" s="341" t="s">
        <v>265</v>
      </c>
      <c r="B93" s="341" t="s">
        <v>246</v>
      </c>
      <c r="C93" s="341">
        <v>0</v>
      </c>
      <c r="D93" s="341">
        <v>0</v>
      </c>
      <c r="E93" s="341">
        <v>1</v>
      </c>
      <c r="F93" s="341">
        <v>0</v>
      </c>
      <c r="G93" s="341">
        <v>0</v>
      </c>
      <c r="H93" s="341">
        <v>0</v>
      </c>
      <c r="I93" s="341">
        <v>0</v>
      </c>
      <c r="J93" s="341">
        <v>0</v>
      </c>
      <c r="K93" s="341"/>
      <c r="L93" s="341" t="s">
        <v>4</v>
      </c>
      <c r="M93" s="341" t="s">
        <v>983</v>
      </c>
      <c r="N93" s="341" t="s">
        <v>1245</v>
      </c>
      <c r="O93" s="341" t="s">
        <v>975</v>
      </c>
      <c r="P93" s="341" t="s">
        <v>247</v>
      </c>
      <c r="Q93" s="341" t="s">
        <v>975</v>
      </c>
      <c r="R93" s="341"/>
      <c r="S93" s="341" t="s">
        <v>1272</v>
      </c>
      <c r="T93" s="341" t="s">
        <v>248</v>
      </c>
      <c r="U93" s="341" t="s">
        <v>40</v>
      </c>
      <c r="V93" s="341" t="s">
        <v>983</v>
      </c>
      <c r="W93" s="341" t="s">
        <v>41</v>
      </c>
      <c r="X93" s="341">
        <f t="shared" si="1"/>
      </c>
    </row>
    <row r="94" spans="1:24" ht="180" x14ac:dyDescent="0.2">
      <c r="A94" s="341" t="s">
        <v>268</v>
      </c>
      <c r="B94" s="341" t="s">
        <v>1536</v>
      </c>
      <c r="C94" s="341">
        <v>0</v>
      </c>
      <c r="D94" s="341">
        <v>0</v>
      </c>
      <c r="E94" s="341">
        <v>1</v>
      </c>
      <c r="F94" s="341">
        <v>0</v>
      </c>
      <c r="G94" s="341">
        <v>0</v>
      </c>
      <c r="H94" s="341">
        <v>0</v>
      </c>
      <c r="I94" s="341">
        <v>0</v>
      </c>
      <c r="J94" s="341">
        <v>1</v>
      </c>
      <c r="K94" s="341"/>
      <c r="L94" s="341" t="s">
        <v>4</v>
      </c>
      <c r="M94" s="341" t="s">
        <v>983</v>
      </c>
      <c r="N94" s="341" t="s">
        <v>1245</v>
      </c>
      <c r="O94" s="341" t="s">
        <v>975</v>
      </c>
      <c r="P94" s="341" t="s">
        <v>1080</v>
      </c>
      <c r="Q94" s="341" t="s">
        <v>1178</v>
      </c>
      <c r="R94" s="341" t="s">
        <v>1907</v>
      </c>
      <c r="S94" s="341" t="s">
        <v>1542</v>
      </c>
      <c r="T94" s="341" t="s">
        <v>1273</v>
      </c>
      <c r="U94" s="341" t="s">
        <v>40</v>
      </c>
      <c r="V94" s="341" t="s">
        <v>983</v>
      </c>
      <c r="W94" s="341" t="s">
        <v>41</v>
      </c>
      <c r="X94" s="341">
        <f t="shared" si="1"/>
      </c>
    </row>
    <row r="95" spans="1:24" ht="60" x14ac:dyDescent="0.2">
      <c r="A95" s="341" t="s">
        <v>271</v>
      </c>
      <c r="B95" s="341" t="s">
        <v>1081</v>
      </c>
      <c r="C95" s="341">
        <v>0</v>
      </c>
      <c r="D95" s="341">
        <v>0</v>
      </c>
      <c r="E95" s="341">
        <v>1</v>
      </c>
      <c r="F95" s="341">
        <v>0</v>
      </c>
      <c r="G95" s="341">
        <v>0</v>
      </c>
      <c r="H95" s="341">
        <v>0</v>
      </c>
      <c r="I95" s="341">
        <v>0</v>
      </c>
      <c r="J95" s="341">
        <v>1</v>
      </c>
      <c r="K95" s="341"/>
      <c r="L95" s="341" t="s">
        <v>4</v>
      </c>
      <c r="M95" s="341" t="s">
        <v>983</v>
      </c>
      <c r="N95" s="341" t="s">
        <v>1245</v>
      </c>
      <c r="O95" s="341" t="s">
        <v>975</v>
      </c>
      <c r="P95" s="341" t="s">
        <v>256</v>
      </c>
      <c r="Q95" s="341" t="s">
        <v>257</v>
      </c>
      <c r="R95" s="341"/>
      <c r="S95" s="341" t="s">
        <v>258</v>
      </c>
      <c r="T95" s="341" t="s">
        <v>259</v>
      </c>
      <c r="U95" s="341" t="s">
        <v>40</v>
      </c>
      <c r="V95" s="341" t="s">
        <v>983</v>
      </c>
      <c r="W95" s="341" t="s">
        <v>41</v>
      </c>
      <c r="X95" s="341">
        <f t="shared" si="1"/>
      </c>
    </row>
    <row r="96" spans="1:24" ht="135" x14ac:dyDescent="0.2">
      <c r="A96" s="354" t="s">
        <v>274</v>
      </c>
      <c r="B96" s="353" t="s">
        <v>998</v>
      </c>
      <c r="C96" s="341">
        <v>0</v>
      </c>
      <c r="D96" s="341">
        <v>1</v>
      </c>
      <c r="E96" s="341">
        <v>0</v>
      </c>
      <c r="F96" s="341">
        <v>0</v>
      </c>
      <c r="G96" s="341">
        <v>0</v>
      </c>
      <c r="H96" s="341">
        <v>0</v>
      </c>
      <c r="I96" s="341">
        <v>0</v>
      </c>
      <c r="J96" s="341">
        <v>0</v>
      </c>
      <c r="K96" s="341"/>
      <c r="L96" s="341" t="s">
        <v>131</v>
      </c>
      <c r="M96" s="341" t="s">
        <v>983</v>
      </c>
      <c r="N96" s="341" t="s">
        <v>975</v>
      </c>
      <c r="O96" s="341" t="s">
        <v>975</v>
      </c>
      <c r="P96" s="341" t="s">
        <v>282</v>
      </c>
      <c r="Q96" s="341" t="s">
        <v>283</v>
      </c>
      <c r="R96" s="341"/>
      <c r="S96" s="341" t="s">
        <v>284</v>
      </c>
      <c r="T96" s="341" t="s">
        <v>1274</v>
      </c>
      <c r="U96" s="341" t="s">
        <v>40</v>
      </c>
      <c r="V96" s="341" t="s">
        <v>983</v>
      </c>
      <c r="W96" s="341" t="s">
        <v>46</v>
      </c>
      <c r="X96" s="341">
        <f t="shared" si="1"/>
      </c>
    </row>
    <row r="97" spans="1:24" ht="165" x14ac:dyDescent="0.2">
      <c r="A97" s="354" t="s">
        <v>279</v>
      </c>
      <c r="B97" s="353" t="s">
        <v>999</v>
      </c>
      <c r="C97" s="341">
        <v>0</v>
      </c>
      <c r="D97" s="341">
        <v>1</v>
      </c>
      <c r="E97" s="341">
        <v>0</v>
      </c>
      <c r="F97" s="341">
        <v>0</v>
      </c>
      <c r="G97" s="341">
        <v>0</v>
      </c>
      <c r="H97" s="341">
        <v>0</v>
      </c>
      <c r="I97" s="341">
        <v>0</v>
      </c>
      <c r="J97" s="341">
        <v>0</v>
      </c>
      <c r="K97" s="341"/>
      <c r="L97" s="341" t="s">
        <v>131</v>
      </c>
      <c r="M97" s="341" t="s">
        <v>983</v>
      </c>
      <c r="N97" s="341" t="s">
        <v>975</v>
      </c>
      <c r="O97" s="341" t="s">
        <v>293</v>
      </c>
      <c r="P97" s="341" t="s">
        <v>294</v>
      </c>
      <c r="Q97" s="341" t="s">
        <v>295</v>
      </c>
      <c r="R97" s="349" t="s">
        <v>1565</v>
      </c>
      <c r="S97" s="341" t="s">
        <v>1275</v>
      </c>
      <c r="T97" s="341" t="s">
        <v>1276</v>
      </c>
      <c r="U97" s="341" t="s">
        <v>40</v>
      </c>
      <c r="V97" s="341" t="s">
        <v>983</v>
      </c>
      <c r="W97" s="341" t="s">
        <v>46</v>
      </c>
      <c r="X97" s="341">
        <f t="shared" si="1"/>
      </c>
    </row>
    <row r="98" spans="1:24" ht="210" x14ac:dyDescent="0.2">
      <c r="A98" s="354" t="s">
        <v>280</v>
      </c>
      <c r="B98" s="353" t="s">
        <v>1863</v>
      </c>
      <c r="C98" s="341">
        <v>0</v>
      </c>
      <c r="D98" s="341">
        <v>1</v>
      </c>
      <c r="E98" s="341">
        <v>0</v>
      </c>
      <c r="F98" s="341">
        <v>0</v>
      </c>
      <c r="G98" s="341">
        <v>0</v>
      </c>
      <c r="H98" s="341">
        <v>0</v>
      </c>
      <c r="I98" s="341">
        <v>0</v>
      </c>
      <c r="J98" s="341">
        <v>0</v>
      </c>
      <c r="K98" s="341"/>
      <c r="L98" s="341" t="s">
        <v>131</v>
      </c>
      <c r="M98" s="341" t="s">
        <v>983</v>
      </c>
      <c r="N98" s="341" t="s">
        <v>975</v>
      </c>
      <c r="O98" s="341" t="s">
        <v>975</v>
      </c>
      <c r="P98" s="341" t="s">
        <v>320</v>
      </c>
      <c r="Q98" s="341" t="s">
        <v>1873</v>
      </c>
      <c r="R98" s="349" t="s">
        <v>1565</v>
      </c>
      <c r="S98" s="341" t="s">
        <v>1277</v>
      </c>
      <c r="T98" s="341" t="s">
        <v>1392</v>
      </c>
      <c r="U98" s="341" t="s">
        <v>40</v>
      </c>
      <c r="V98" s="341" t="s">
        <v>983</v>
      </c>
      <c r="W98" s="341" t="s">
        <v>46</v>
      </c>
      <c r="X98" s="341">
        <f t="shared" si="1"/>
      </c>
    </row>
    <row r="99" spans="1:24" ht="135" x14ac:dyDescent="0.2">
      <c r="A99" s="224" t="s">
        <v>281</v>
      </c>
      <c r="B99" s="341" t="s">
        <v>275</v>
      </c>
      <c r="C99" s="341">
        <v>0</v>
      </c>
      <c r="D99" s="341">
        <v>1</v>
      </c>
      <c r="E99" s="341">
        <v>0</v>
      </c>
      <c r="F99" s="341">
        <v>0</v>
      </c>
      <c r="G99" s="341">
        <v>0</v>
      </c>
      <c r="H99" s="341">
        <v>0</v>
      </c>
      <c r="I99" s="341">
        <v>0</v>
      </c>
      <c r="J99" s="341">
        <v>1</v>
      </c>
      <c r="K99" s="341"/>
      <c r="L99" s="341" t="s">
        <v>131</v>
      </c>
      <c r="M99" s="341" t="s">
        <v>72</v>
      </c>
      <c r="N99" s="341" t="s">
        <v>975</v>
      </c>
      <c r="O99" s="341" t="s">
        <v>975</v>
      </c>
      <c r="P99" s="341" t="s">
        <v>90</v>
      </c>
      <c r="Q99" s="341" t="s">
        <v>276</v>
      </c>
      <c r="R99" s="341"/>
      <c r="S99" s="341" t="s">
        <v>277</v>
      </c>
      <c r="T99" s="341" t="s">
        <v>278</v>
      </c>
      <c r="U99" s="341" t="s">
        <v>40</v>
      </c>
      <c r="V99" s="341" t="s">
        <v>983</v>
      </c>
      <c r="W99" s="341" t="s">
        <v>75</v>
      </c>
      <c r="X99" s="341">
        <f t="shared" si="1"/>
      </c>
    </row>
    <row r="100" spans="1:24" ht="232.5" customHeight="1" x14ac:dyDescent="0.2">
      <c r="A100" s="224" t="s">
        <v>285</v>
      </c>
      <c r="B100" s="341" t="s">
        <v>1082</v>
      </c>
      <c r="C100" s="341">
        <v>0</v>
      </c>
      <c r="D100" s="341">
        <v>1</v>
      </c>
      <c r="E100" s="341">
        <v>0</v>
      </c>
      <c r="F100" s="341">
        <v>0</v>
      </c>
      <c r="G100" s="341">
        <v>0</v>
      </c>
      <c r="H100" s="341">
        <v>0</v>
      </c>
      <c r="I100" s="341">
        <v>0</v>
      </c>
      <c r="J100" s="341">
        <v>1</v>
      </c>
      <c r="K100" s="341"/>
      <c r="L100" s="341" t="s">
        <v>131</v>
      </c>
      <c r="M100" s="341" t="s">
        <v>983</v>
      </c>
      <c r="N100" s="341" t="s">
        <v>975</v>
      </c>
      <c r="O100" s="341" t="s">
        <v>975</v>
      </c>
      <c r="P100" s="341" t="s">
        <v>1083</v>
      </c>
      <c r="Q100" s="341" t="s">
        <v>1428</v>
      </c>
      <c r="R100" s="341"/>
      <c r="S100" s="341" t="s">
        <v>1084</v>
      </c>
      <c r="T100" s="341" t="s">
        <v>1278</v>
      </c>
      <c r="U100" s="341" t="s">
        <v>40</v>
      </c>
      <c r="V100" s="341" t="s">
        <v>983</v>
      </c>
      <c r="W100" s="341" t="s">
        <v>75</v>
      </c>
      <c r="X100" s="341">
        <f t="shared" si="1"/>
      </c>
    </row>
    <row r="101" spans="1:24" ht="139.5" customHeight="1" x14ac:dyDescent="0.2">
      <c r="A101" s="224" t="s">
        <v>288</v>
      </c>
      <c r="B101" s="341" t="s">
        <v>1085</v>
      </c>
      <c r="C101" s="341">
        <v>0</v>
      </c>
      <c r="D101" s="341">
        <v>1</v>
      </c>
      <c r="E101" s="341">
        <v>0</v>
      </c>
      <c r="F101" s="341">
        <v>0</v>
      </c>
      <c r="G101" s="341">
        <v>0</v>
      </c>
      <c r="H101" s="341">
        <v>0</v>
      </c>
      <c r="I101" s="341">
        <v>0</v>
      </c>
      <c r="J101" s="341">
        <v>0</v>
      </c>
      <c r="K101" s="341"/>
      <c r="L101" s="341" t="s">
        <v>131</v>
      </c>
      <c r="M101" s="341" t="s">
        <v>983</v>
      </c>
      <c r="N101" s="341" t="s">
        <v>975</v>
      </c>
      <c r="O101" s="341" t="s">
        <v>975</v>
      </c>
      <c r="P101" s="341" t="s">
        <v>1874</v>
      </c>
      <c r="Q101" s="341" t="s">
        <v>1875</v>
      </c>
      <c r="R101" s="341"/>
      <c r="S101" s="341" t="s">
        <v>1279</v>
      </c>
      <c r="T101" s="341" t="s">
        <v>1280</v>
      </c>
      <c r="U101" s="341" t="s">
        <v>40</v>
      </c>
      <c r="V101" s="341" t="s">
        <v>983</v>
      </c>
      <c r="W101" s="341" t="s">
        <v>75</v>
      </c>
      <c r="X101" s="341">
        <f t="shared" si="1"/>
      </c>
    </row>
    <row r="102" spans="1:24" ht="105" x14ac:dyDescent="0.2">
      <c r="A102" s="224" t="s">
        <v>292</v>
      </c>
      <c r="B102" s="341" t="s">
        <v>305</v>
      </c>
      <c r="C102" s="341">
        <v>0</v>
      </c>
      <c r="D102" s="341">
        <v>1</v>
      </c>
      <c r="E102" s="341">
        <v>0</v>
      </c>
      <c r="F102" s="341">
        <v>0</v>
      </c>
      <c r="G102" s="341">
        <v>0</v>
      </c>
      <c r="H102" s="341">
        <v>0</v>
      </c>
      <c r="I102" s="341">
        <v>0</v>
      </c>
      <c r="J102" s="341">
        <v>0</v>
      </c>
      <c r="K102" s="341"/>
      <c r="L102" s="341" t="s">
        <v>131</v>
      </c>
      <c r="M102" s="341" t="s">
        <v>983</v>
      </c>
      <c r="N102" s="341" t="s">
        <v>975</v>
      </c>
      <c r="O102" s="341" t="s">
        <v>975</v>
      </c>
      <c r="P102" s="341" t="s">
        <v>306</v>
      </c>
      <c r="Q102" s="341" t="s">
        <v>307</v>
      </c>
      <c r="R102" s="341"/>
      <c r="S102" s="341" t="s">
        <v>1281</v>
      </c>
      <c r="T102" s="341" t="s">
        <v>1282</v>
      </c>
      <c r="U102" s="341" t="s">
        <v>40</v>
      </c>
      <c r="V102" s="341" t="s">
        <v>983</v>
      </c>
      <c r="W102" s="341" t="s">
        <v>75</v>
      </c>
      <c r="X102" s="341">
        <f t="shared" si="1"/>
      </c>
    </row>
    <row r="103" spans="1:24" ht="214.5" customHeight="1" x14ac:dyDescent="0.2">
      <c r="A103" s="224" t="s">
        <v>296</v>
      </c>
      <c r="B103" s="341" t="s">
        <v>1026</v>
      </c>
      <c r="C103" s="341">
        <v>0</v>
      </c>
      <c r="D103" s="341">
        <v>1</v>
      </c>
      <c r="E103" s="341">
        <v>0</v>
      </c>
      <c r="F103" s="341">
        <v>0</v>
      </c>
      <c r="G103" s="341">
        <v>0</v>
      </c>
      <c r="H103" s="341">
        <v>0</v>
      </c>
      <c r="I103" s="341">
        <v>0</v>
      </c>
      <c r="J103" s="341">
        <v>0</v>
      </c>
      <c r="K103" s="341"/>
      <c r="L103" s="341" t="s">
        <v>131</v>
      </c>
      <c r="M103" s="341" t="s">
        <v>983</v>
      </c>
      <c r="N103" s="341" t="s">
        <v>975</v>
      </c>
      <c r="O103" s="341" t="s">
        <v>975</v>
      </c>
      <c r="P103" s="341" t="s">
        <v>309</v>
      </c>
      <c r="Q103" s="341" t="s">
        <v>310</v>
      </c>
      <c r="R103" s="341"/>
      <c r="S103" s="341" t="s">
        <v>1283</v>
      </c>
      <c r="T103" s="341" t="s">
        <v>1284</v>
      </c>
      <c r="U103" s="341" t="s">
        <v>40</v>
      </c>
      <c r="V103" s="341" t="s">
        <v>983</v>
      </c>
      <c r="W103" s="341" t="s">
        <v>75</v>
      </c>
      <c r="X103" s="341">
        <f t="shared" si="1"/>
      </c>
    </row>
    <row r="104" spans="1:24" ht="244.5" customHeight="1" x14ac:dyDescent="0.2">
      <c r="A104" s="224" t="s">
        <v>299</v>
      </c>
      <c r="B104" s="341" t="s">
        <v>286</v>
      </c>
      <c r="C104" s="341">
        <v>0</v>
      </c>
      <c r="D104" s="341">
        <v>1</v>
      </c>
      <c r="E104" s="341">
        <v>0</v>
      </c>
      <c r="F104" s="341">
        <v>0</v>
      </c>
      <c r="G104" s="341">
        <v>0</v>
      </c>
      <c r="H104" s="341">
        <v>0</v>
      </c>
      <c r="I104" s="341">
        <v>0</v>
      </c>
      <c r="J104" s="341">
        <v>0</v>
      </c>
      <c r="K104" s="341"/>
      <c r="L104" s="341" t="s">
        <v>131</v>
      </c>
      <c r="M104" s="341" t="s">
        <v>983</v>
      </c>
      <c r="N104" s="341" t="s">
        <v>975</v>
      </c>
      <c r="O104" s="341" t="s">
        <v>975</v>
      </c>
      <c r="P104" s="341" t="s">
        <v>287</v>
      </c>
      <c r="Q104" s="341" t="s">
        <v>1876</v>
      </c>
      <c r="R104" s="349" t="s">
        <v>1565</v>
      </c>
      <c r="S104" s="341" t="s">
        <v>1285</v>
      </c>
      <c r="T104" s="341" t="s">
        <v>1207</v>
      </c>
      <c r="U104" s="341" t="s">
        <v>40</v>
      </c>
      <c r="V104" s="341" t="s">
        <v>983</v>
      </c>
      <c r="W104" s="341" t="s">
        <v>41</v>
      </c>
      <c r="X104" s="341">
        <f t="shared" si="1"/>
      </c>
    </row>
    <row r="105" spans="1:24" ht="120" x14ac:dyDescent="0.2">
      <c r="A105" s="224" t="s">
        <v>302</v>
      </c>
      <c r="B105" s="341" t="s">
        <v>289</v>
      </c>
      <c r="C105" s="341">
        <v>0</v>
      </c>
      <c r="D105" s="341">
        <v>1</v>
      </c>
      <c r="E105" s="341">
        <v>0</v>
      </c>
      <c r="F105" s="341">
        <v>0</v>
      </c>
      <c r="G105" s="341">
        <v>0</v>
      </c>
      <c r="H105" s="341">
        <v>0</v>
      </c>
      <c r="I105" s="341">
        <v>0</v>
      </c>
      <c r="J105" s="341">
        <v>0</v>
      </c>
      <c r="K105" s="341"/>
      <c r="L105" s="341" t="s">
        <v>131</v>
      </c>
      <c r="M105" s="341" t="s">
        <v>983</v>
      </c>
      <c r="N105" s="341" t="s">
        <v>975</v>
      </c>
      <c r="O105" s="341" t="s">
        <v>290</v>
      </c>
      <c r="P105" s="341" t="s">
        <v>1211</v>
      </c>
      <c r="Q105" s="341" t="s">
        <v>291</v>
      </c>
      <c r="R105" s="349" t="s">
        <v>1565</v>
      </c>
      <c r="S105" s="341" t="s">
        <v>1286</v>
      </c>
      <c r="T105" s="341" t="s">
        <v>1287</v>
      </c>
      <c r="U105" s="341" t="s">
        <v>40</v>
      </c>
      <c r="V105" s="341" t="s">
        <v>983</v>
      </c>
      <c r="W105" s="341" t="s">
        <v>41</v>
      </c>
      <c r="X105" s="341">
        <f t="shared" si="1"/>
      </c>
    </row>
    <row r="106" spans="1:24" ht="120" x14ac:dyDescent="0.2">
      <c r="A106" s="224" t="s">
        <v>304</v>
      </c>
      <c r="B106" s="341" t="s">
        <v>297</v>
      </c>
      <c r="C106" s="341">
        <v>0</v>
      </c>
      <c r="D106" s="341">
        <v>1</v>
      </c>
      <c r="E106" s="341">
        <v>0</v>
      </c>
      <c r="F106" s="341">
        <v>0</v>
      </c>
      <c r="G106" s="341">
        <v>0</v>
      </c>
      <c r="H106" s="341">
        <v>0</v>
      </c>
      <c r="I106" s="341">
        <v>0</v>
      </c>
      <c r="J106" s="341">
        <v>0</v>
      </c>
      <c r="K106" s="341"/>
      <c r="L106" s="341" t="s">
        <v>131</v>
      </c>
      <c r="M106" s="341" t="s">
        <v>983</v>
      </c>
      <c r="N106" s="341" t="s">
        <v>975</v>
      </c>
      <c r="O106" s="341" t="s">
        <v>975</v>
      </c>
      <c r="P106" s="341" t="s">
        <v>298</v>
      </c>
      <c r="Q106" s="341" t="s">
        <v>1179</v>
      </c>
      <c r="R106" s="349" t="s">
        <v>1565</v>
      </c>
      <c r="S106" s="341" t="s">
        <v>1288</v>
      </c>
      <c r="T106" s="341" t="s">
        <v>1289</v>
      </c>
      <c r="U106" s="341" t="s">
        <v>40</v>
      </c>
      <c r="V106" s="341" t="s">
        <v>983</v>
      </c>
      <c r="W106" s="341" t="s">
        <v>41</v>
      </c>
      <c r="X106" s="341">
        <f t="shared" si="1"/>
      </c>
    </row>
    <row r="107" spans="1:24" ht="90" x14ac:dyDescent="0.2">
      <c r="A107" s="224" t="s">
        <v>308</v>
      </c>
      <c r="B107" s="341" t="s">
        <v>1212</v>
      </c>
      <c r="C107" s="341">
        <v>0</v>
      </c>
      <c r="D107" s="341">
        <v>1</v>
      </c>
      <c r="E107" s="341">
        <v>0</v>
      </c>
      <c r="F107" s="341">
        <v>0</v>
      </c>
      <c r="G107" s="341">
        <v>0</v>
      </c>
      <c r="H107" s="341">
        <v>0</v>
      </c>
      <c r="I107" s="341">
        <v>0</v>
      </c>
      <c r="J107" s="341">
        <v>0</v>
      </c>
      <c r="K107" s="341"/>
      <c r="L107" s="341" t="s">
        <v>131</v>
      </c>
      <c r="M107" s="341" t="s">
        <v>983</v>
      </c>
      <c r="N107" s="341" t="s">
        <v>975</v>
      </c>
      <c r="O107" s="341" t="s">
        <v>975</v>
      </c>
      <c r="P107" s="341" t="s">
        <v>300</v>
      </c>
      <c r="Q107" s="341" t="s">
        <v>301</v>
      </c>
      <c r="R107" s="342" t="s">
        <v>1565</v>
      </c>
      <c r="S107" s="341" t="s">
        <v>1290</v>
      </c>
      <c r="T107" s="341" t="s">
        <v>1291</v>
      </c>
      <c r="U107" s="341" t="s">
        <v>40</v>
      </c>
      <c r="V107" s="341" t="s">
        <v>983</v>
      </c>
      <c r="W107" s="341" t="s">
        <v>41</v>
      </c>
      <c r="X107" s="341">
        <f t="shared" si="1"/>
      </c>
    </row>
    <row r="108" spans="1:24" ht="276.75" customHeight="1" x14ac:dyDescent="0.2">
      <c r="A108" s="224" t="s">
        <v>311</v>
      </c>
      <c r="B108" s="341" t="s">
        <v>1180</v>
      </c>
      <c r="C108" s="341">
        <v>0</v>
      </c>
      <c r="D108" s="341">
        <v>1</v>
      </c>
      <c r="E108" s="341">
        <v>0</v>
      </c>
      <c r="F108" s="341">
        <v>0</v>
      </c>
      <c r="G108" s="341">
        <v>0</v>
      </c>
      <c r="H108" s="341">
        <v>0</v>
      </c>
      <c r="I108" s="341">
        <v>0</v>
      </c>
      <c r="J108" s="341">
        <v>0</v>
      </c>
      <c r="K108" s="341"/>
      <c r="L108" s="341" t="s">
        <v>131</v>
      </c>
      <c r="M108" s="341" t="s">
        <v>983</v>
      </c>
      <c r="N108" s="341" t="s">
        <v>975</v>
      </c>
      <c r="O108" s="341" t="s">
        <v>975</v>
      </c>
      <c r="P108" s="341" t="s">
        <v>1181</v>
      </c>
      <c r="Q108" s="341" t="s">
        <v>975</v>
      </c>
      <c r="R108" s="341"/>
      <c r="S108" s="341" t="s">
        <v>1292</v>
      </c>
      <c r="T108" s="341" t="s">
        <v>303</v>
      </c>
      <c r="U108" s="341" t="s">
        <v>40</v>
      </c>
      <c r="V108" s="341" t="s">
        <v>983</v>
      </c>
      <c r="W108" s="341" t="s">
        <v>41</v>
      </c>
      <c r="X108" s="341">
        <f t="shared" si="1"/>
      </c>
    </row>
    <row r="109" spans="1:24" ht="174" customHeight="1" x14ac:dyDescent="0.2">
      <c r="A109" s="224" t="s">
        <v>315</v>
      </c>
      <c r="B109" s="341" t="s">
        <v>312</v>
      </c>
      <c r="C109" s="341">
        <v>0</v>
      </c>
      <c r="D109" s="341">
        <v>1</v>
      </c>
      <c r="E109" s="341">
        <v>0</v>
      </c>
      <c r="F109" s="341">
        <v>0</v>
      </c>
      <c r="G109" s="341">
        <v>0</v>
      </c>
      <c r="H109" s="341">
        <v>0</v>
      </c>
      <c r="I109" s="341">
        <v>0</v>
      </c>
      <c r="J109" s="341">
        <v>0</v>
      </c>
      <c r="K109" s="341"/>
      <c r="L109" s="341" t="s">
        <v>131</v>
      </c>
      <c r="M109" s="341" t="s">
        <v>983</v>
      </c>
      <c r="N109" s="341" t="s">
        <v>975</v>
      </c>
      <c r="O109" s="341" t="s">
        <v>975</v>
      </c>
      <c r="P109" s="341" t="s">
        <v>1877</v>
      </c>
      <c r="Q109" s="341" t="s">
        <v>313</v>
      </c>
      <c r="R109" s="341"/>
      <c r="S109" s="341" t="s">
        <v>314</v>
      </c>
      <c r="T109" s="341" t="s">
        <v>1278</v>
      </c>
      <c r="U109" s="341" t="s">
        <v>40</v>
      </c>
      <c r="V109" s="341" t="s">
        <v>983</v>
      </c>
      <c r="W109" s="341" t="s">
        <v>41</v>
      </c>
      <c r="X109" s="341">
        <f t="shared" si="1"/>
      </c>
    </row>
    <row r="110" spans="1:24" ht="150" x14ac:dyDescent="0.2">
      <c r="A110" s="224" t="s">
        <v>319</v>
      </c>
      <c r="B110" s="341" t="s">
        <v>316</v>
      </c>
      <c r="C110" s="341">
        <v>0</v>
      </c>
      <c r="D110" s="341">
        <v>1</v>
      </c>
      <c r="E110" s="341">
        <v>0</v>
      </c>
      <c r="F110" s="341">
        <v>0</v>
      </c>
      <c r="G110" s="341">
        <v>0</v>
      </c>
      <c r="H110" s="341">
        <v>0</v>
      </c>
      <c r="I110" s="341">
        <v>0</v>
      </c>
      <c r="J110" s="341">
        <v>0</v>
      </c>
      <c r="K110" s="341"/>
      <c r="L110" s="341" t="s">
        <v>131</v>
      </c>
      <c r="M110" s="341" t="s">
        <v>983</v>
      </c>
      <c r="N110" s="341" t="s">
        <v>975</v>
      </c>
      <c r="O110" s="341" t="s">
        <v>975</v>
      </c>
      <c r="P110" s="341" t="s">
        <v>317</v>
      </c>
      <c r="Q110" s="341" t="s">
        <v>318</v>
      </c>
      <c r="R110" s="341"/>
      <c r="S110" s="341" t="s">
        <v>1086</v>
      </c>
      <c r="T110" s="341" t="s">
        <v>1293</v>
      </c>
      <c r="U110" s="341" t="s">
        <v>40</v>
      </c>
      <c r="V110" s="341" t="s">
        <v>983</v>
      </c>
      <c r="W110" s="341" t="s">
        <v>41</v>
      </c>
      <c r="X110" s="341">
        <f t="shared" si="1"/>
      </c>
    </row>
    <row r="111" spans="1:24" ht="210" x14ac:dyDescent="0.2">
      <c r="A111" s="224" t="s">
        <v>321</v>
      </c>
      <c r="B111" s="341" t="s">
        <v>322</v>
      </c>
      <c r="C111" s="341">
        <v>0</v>
      </c>
      <c r="D111" s="341">
        <v>1</v>
      </c>
      <c r="E111" s="341">
        <v>0</v>
      </c>
      <c r="F111" s="341">
        <v>0</v>
      </c>
      <c r="G111" s="341">
        <v>0</v>
      </c>
      <c r="H111" s="341">
        <v>0</v>
      </c>
      <c r="I111" s="341">
        <v>0</v>
      </c>
      <c r="J111" s="341">
        <v>0</v>
      </c>
      <c r="K111" s="341"/>
      <c r="L111" s="341" t="s">
        <v>131</v>
      </c>
      <c r="M111" s="341" t="s">
        <v>983</v>
      </c>
      <c r="N111" s="341" t="s">
        <v>975</v>
      </c>
      <c r="O111" s="341" t="s">
        <v>975</v>
      </c>
      <c r="P111" s="341" t="s">
        <v>323</v>
      </c>
      <c r="Q111" s="341" t="s">
        <v>324</v>
      </c>
      <c r="R111" s="341"/>
      <c r="S111" s="341" t="s">
        <v>1238</v>
      </c>
      <c r="T111" s="341" t="s">
        <v>1239</v>
      </c>
      <c r="U111" s="341" t="s">
        <v>40</v>
      </c>
      <c r="V111" s="341" t="s">
        <v>983</v>
      </c>
      <c r="W111" s="341" t="s">
        <v>41</v>
      </c>
      <c r="X111" s="341">
        <f t="shared" si="1"/>
      </c>
    </row>
    <row r="112" spans="1:24" ht="135" x14ac:dyDescent="0.2">
      <c r="A112" s="353" t="s">
        <v>325</v>
      </c>
      <c r="B112" s="353" t="s">
        <v>1000</v>
      </c>
      <c r="C112" s="341">
        <v>0</v>
      </c>
      <c r="D112" s="341">
        <v>0</v>
      </c>
      <c r="E112" s="341">
        <v>1</v>
      </c>
      <c r="F112" s="341">
        <v>0</v>
      </c>
      <c r="G112" s="341">
        <v>0</v>
      </c>
      <c r="H112" s="341">
        <v>0</v>
      </c>
      <c r="I112" s="341">
        <v>0</v>
      </c>
      <c r="J112" s="341">
        <v>0</v>
      </c>
      <c r="K112" s="341"/>
      <c r="L112" s="341" t="s">
        <v>4</v>
      </c>
      <c r="M112" s="341" t="s">
        <v>983</v>
      </c>
      <c r="N112" s="341" t="s">
        <v>1245</v>
      </c>
      <c r="O112" s="341" t="s">
        <v>975</v>
      </c>
      <c r="P112" s="341" t="s">
        <v>975</v>
      </c>
      <c r="Q112" s="341" t="s">
        <v>330</v>
      </c>
      <c r="R112" s="341"/>
      <c r="S112" s="341" t="s">
        <v>331</v>
      </c>
      <c r="T112" s="341" t="s">
        <v>1294</v>
      </c>
      <c r="U112" s="341" t="s">
        <v>148</v>
      </c>
      <c r="V112" s="341" t="s">
        <v>983</v>
      </c>
      <c r="W112" s="341" t="s">
        <v>46</v>
      </c>
      <c r="X112" s="341">
        <f t="shared" si="1"/>
      </c>
    </row>
    <row r="113" spans="1:24" ht="105" x14ac:dyDescent="0.2">
      <c r="A113" s="353" t="s">
        <v>329</v>
      </c>
      <c r="B113" s="353" t="s">
        <v>1087</v>
      </c>
      <c r="C113" s="341">
        <v>0</v>
      </c>
      <c r="D113" s="341">
        <v>0</v>
      </c>
      <c r="E113" s="341">
        <v>1</v>
      </c>
      <c r="F113" s="341">
        <v>0</v>
      </c>
      <c r="G113" s="341">
        <v>0</v>
      </c>
      <c r="H113" s="341">
        <v>0</v>
      </c>
      <c r="I113" s="341">
        <v>0</v>
      </c>
      <c r="J113" s="341">
        <v>1</v>
      </c>
      <c r="K113" s="341"/>
      <c r="L113" s="341" t="s">
        <v>4</v>
      </c>
      <c r="M113" s="341" t="s">
        <v>983</v>
      </c>
      <c r="N113" s="341" t="s">
        <v>1245</v>
      </c>
      <c r="O113" s="341" t="s">
        <v>975</v>
      </c>
      <c r="P113" s="341" t="s">
        <v>333</v>
      </c>
      <c r="Q113" s="341" t="s">
        <v>334</v>
      </c>
      <c r="R113" s="341"/>
      <c r="S113" s="341" t="s">
        <v>1208</v>
      </c>
      <c r="T113" s="341" t="s">
        <v>335</v>
      </c>
      <c r="U113" s="341" t="s">
        <v>40</v>
      </c>
      <c r="V113" s="341" t="s">
        <v>983</v>
      </c>
      <c r="W113" s="341" t="s">
        <v>46</v>
      </c>
      <c r="X113" s="341">
        <f t="shared" si="1"/>
      </c>
    </row>
    <row r="114" spans="1:24" ht="120" x14ac:dyDescent="0.2">
      <c r="A114" s="353" t="s">
        <v>332</v>
      </c>
      <c r="B114" s="353" t="s">
        <v>1088</v>
      </c>
      <c r="C114" s="341">
        <v>0</v>
      </c>
      <c r="D114" s="341">
        <v>0</v>
      </c>
      <c r="E114" s="341">
        <v>1</v>
      </c>
      <c r="F114" s="341">
        <v>0</v>
      </c>
      <c r="G114" s="341">
        <v>0</v>
      </c>
      <c r="H114" s="341">
        <v>0</v>
      </c>
      <c r="I114" s="341">
        <v>0</v>
      </c>
      <c r="J114" s="341">
        <v>1</v>
      </c>
      <c r="K114" s="341"/>
      <c r="L114" s="341" t="s">
        <v>4</v>
      </c>
      <c r="M114" s="341" t="s">
        <v>983</v>
      </c>
      <c r="N114" s="341" t="s">
        <v>1245</v>
      </c>
      <c r="O114" s="341" t="s">
        <v>975</v>
      </c>
      <c r="P114" s="341" t="s">
        <v>337</v>
      </c>
      <c r="Q114" s="341" t="s">
        <v>338</v>
      </c>
      <c r="R114" s="341"/>
      <c r="S114" s="341" t="s">
        <v>339</v>
      </c>
      <c r="T114" s="341" t="s">
        <v>340</v>
      </c>
      <c r="U114" s="341" t="s">
        <v>40</v>
      </c>
      <c r="V114" s="341" t="s">
        <v>983</v>
      </c>
      <c r="W114" s="341" t="s">
        <v>46</v>
      </c>
      <c r="X114" s="341">
        <f t="shared" si="1"/>
      </c>
    </row>
    <row r="115" spans="1:24" ht="180" x14ac:dyDescent="0.2">
      <c r="A115" s="353" t="s">
        <v>336</v>
      </c>
      <c r="B115" s="353" t="s">
        <v>1214</v>
      </c>
      <c r="C115" s="341">
        <v>0</v>
      </c>
      <c r="D115" s="341">
        <v>0</v>
      </c>
      <c r="E115" s="341">
        <v>1</v>
      </c>
      <c r="F115" s="341">
        <v>0</v>
      </c>
      <c r="G115" s="341">
        <v>0</v>
      </c>
      <c r="H115" s="341">
        <v>0</v>
      </c>
      <c r="I115" s="341">
        <v>0</v>
      </c>
      <c r="J115" s="341">
        <v>0</v>
      </c>
      <c r="K115" s="341"/>
      <c r="L115" s="341" t="s">
        <v>4</v>
      </c>
      <c r="M115" s="341" t="s">
        <v>983</v>
      </c>
      <c r="N115" s="341" t="s">
        <v>1245</v>
      </c>
      <c r="O115" s="341" t="s">
        <v>975</v>
      </c>
      <c r="P115" s="341" t="s">
        <v>342</v>
      </c>
      <c r="Q115" s="341" t="s">
        <v>343</v>
      </c>
      <c r="R115" s="341"/>
      <c r="S115" s="341" t="s">
        <v>1295</v>
      </c>
      <c r="T115" s="341" t="s">
        <v>1296</v>
      </c>
      <c r="U115" s="341" t="s">
        <v>40</v>
      </c>
      <c r="V115" s="341" t="s">
        <v>983</v>
      </c>
      <c r="W115" s="341" t="s">
        <v>46</v>
      </c>
      <c r="X115" s="341">
        <f t="shared" si="1"/>
      </c>
    </row>
    <row r="116" spans="1:24" ht="135" x14ac:dyDescent="0.2">
      <c r="A116" s="353" t="s">
        <v>341</v>
      </c>
      <c r="B116" s="353" t="s">
        <v>1001</v>
      </c>
      <c r="C116" s="341">
        <v>0</v>
      </c>
      <c r="D116" s="341">
        <v>0</v>
      </c>
      <c r="E116" s="341">
        <v>1</v>
      </c>
      <c r="F116" s="341">
        <v>0</v>
      </c>
      <c r="G116" s="341">
        <v>0</v>
      </c>
      <c r="H116" s="341">
        <v>0</v>
      </c>
      <c r="I116" s="341">
        <v>0</v>
      </c>
      <c r="J116" s="341">
        <v>1</v>
      </c>
      <c r="K116" s="341"/>
      <c r="L116" s="341" t="s">
        <v>4</v>
      </c>
      <c r="M116" s="341" t="s">
        <v>983</v>
      </c>
      <c r="N116" s="341" t="s">
        <v>1245</v>
      </c>
      <c r="O116" s="341" t="s">
        <v>975</v>
      </c>
      <c r="P116" s="341" t="s">
        <v>347</v>
      </c>
      <c r="Q116" s="341" t="s">
        <v>345</v>
      </c>
      <c r="R116" s="341"/>
      <c r="S116" s="341" t="s">
        <v>1297</v>
      </c>
      <c r="T116" s="341" t="s">
        <v>1298</v>
      </c>
      <c r="U116" s="341" t="s">
        <v>40</v>
      </c>
      <c r="V116" s="341" t="s">
        <v>983</v>
      </c>
      <c r="W116" s="341" t="s">
        <v>46</v>
      </c>
      <c r="X116" s="341">
        <f t="shared" si="1"/>
      </c>
    </row>
    <row r="117" spans="1:24" ht="135" x14ac:dyDescent="0.2">
      <c r="A117" s="353" t="s">
        <v>344</v>
      </c>
      <c r="B117" s="353" t="s">
        <v>1697</v>
      </c>
      <c r="C117" s="341">
        <v>0</v>
      </c>
      <c r="D117" s="341">
        <v>0</v>
      </c>
      <c r="E117" s="341">
        <v>1</v>
      </c>
      <c r="F117" s="341">
        <v>0</v>
      </c>
      <c r="G117" s="341">
        <v>0</v>
      </c>
      <c r="H117" s="341">
        <v>0</v>
      </c>
      <c r="I117" s="341">
        <v>0</v>
      </c>
      <c r="J117" s="341">
        <v>1</v>
      </c>
      <c r="K117" s="341"/>
      <c r="L117" s="341" t="s">
        <v>4</v>
      </c>
      <c r="M117" s="341" t="s">
        <v>983</v>
      </c>
      <c r="N117" s="341" t="s">
        <v>1245</v>
      </c>
      <c r="O117" s="341" t="s">
        <v>975</v>
      </c>
      <c r="P117" s="341" t="s">
        <v>356</v>
      </c>
      <c r="Q117" s="341" t="s">
        <v>357</v>
      </c>
      <c r="R117" s="341"/>
      <c r="S117" s="341" t="s">
        <v>358</v>
      </c>
      <c r="T117" s="341" t="s">
        <v>1299</v>
      </c>
      <c r="U117" s="341" t="s">
        <v>40</v>
      </c>
      <c r="V117" s="341" t="s">
        <v>983</v>
      </c>
      <c r="W117" s="341" t="s">
        <v>46</v>
      </c>
      <c r="X117" s="341">
        <f t="shared" si="1"/>
      </c>
    </row>
    <row r="118" spans="1:24" ht="150" x14ac:dyDescent="0.2">
      <c r="A118" s="353" t="s">
        <v>346</v>
      </c>
      <c r="B118" s="353" t="s">
        <v>1002</v>
      </c>
      <c r="C118" s="341">
        <v>0</v>
      </c>
      <c r="D118" s="341">
        <v>0</v>
      </c>
      <c r="E118" s="341">
        <v>1</v>
      </c>
      <c r="F118" s="341">
        <v>0</v>
      </c>
      <c r="G118" s="341">
        <v>0</v>
      </c>
      <c r="H118" s="341">
        <v>0</v>
      </c>
      <c r="I118" s="341">
        <v>0</v>
      </c>
      <c r="J118" s="341">
        <v>0</v>
      </c>
      <c r="K118" s="341"/>
      <c r="L118" s="341" t="s">
        <v>4</v>
      </c>
      <c r="M118" s="341" t="s">
        <v>983</v>
      </c>
      <c r="N118" s="341" t="s">
        <v>1245</v>
      </c>
      <c r="O118" s="341" t="s">
        <v>975</v>
      </c>
      <c r="P118" s="341" t="s">
        <v>975</v>
      </c>
      <c r="Q118" s="341" t="s">
        <v>376</v>
      </c>
      <c r="R118" s="341"/>
      <c r="S118" s="341" t="s">
        <v>377</v>
      </c>
      <c r="T118" s="341" t="s">
        <v>378</v>
      </c>
      <c r="U118" s="341" t="s">
        <v>148</v>
      </c>
      <c r="V118" s="341" t="s">
        <v>983</v>
      </c>
      <c r="W118" s="341" t="s">
        <v>46</v>
      </c>
      <c r="X118" s="341">
        <f t="shared" si="1"/>
      </c>
    </row>
    <row r="119" spans="1:24" ht="165" x14ac:dyDescent="0.2">
      <c r="A119" s="353" t="s">
        <v>348</v>
      </c>
      <c r="B119" s="353" t="s">
        <v>1003</v>
      </c>
      <c r="C119" s="341">
        <v>0</v>
      </c>
      <c r="D119" s="341">
        <v>0</v>
      </c>
      <c r="E119" s="341">
        <v>1</v>
      </c>
      <c r="F119" s="341">
        <v>0</v>
      </c>
      <c r="G119" s="341">
        <v>0</v>
      </c>
      <c r="H119" s="341">
        <v>0</v>
      </c>
      <c r="I119" s="341">
        <v>0</v>
      </c>
      <c r="J119" s="341">
        <v>0</v>
      </c>
      <c r="K119" s="341"/>
      <c r="L119" s="341" t="s">
        <v>4</v>
      </c>
      <c r="M119" s="341" t="s">
        <v>983</v>
      </c>
      <c r="N119" s="341" t="s">
        <v>1245</v>
      </c>
      <c r="O119" s="341" t="s">
        <v>975</v>
      </c>
      <c r="P119" s="341" t="s">
        <v>396</v>
      </c>
      <c r="Q119" s="341" t="s">
        <v>397</v>
      </c>
      <c r="R119" s="341"/>
      <c r="S119" s="341" t="s">
        <v>390</v>
      </c>
      <c r="T119" s="341" t="s">
        <v>391</v>
      </c>
      <c r="U119" s="341" t="s">
        <v>40</v>
      </c>
      <c r="V119" s="341" t="s">
        <v>983</v>
      </c>
      <c r="W119" s="341" t="s">
        <v>46</v>
      </c>
      <c r="X119" s="341">
        <f t="shared" si="1"/>
      </c>
    </row>
    <row r="120" spans="1:24" ht="135" x14ac:dyDescent="0.2">
      <c r="A120" s="341" t="s">
        <v>352</v>
      </c>
      <c r="B120" s="341" t="s">
        <v>1517</v>
      </c>
      <c r="C120" s="341">
        <v>0</v>
      </c>
      <c r="D120" s="341">
        <v>0</v>
      </c>
      <c r="E120" s="341">
        <v>1</v>
      </c>
      <c r="F120" s="341">
        <v>0</v>
      </c>
      <c r="G120" s="341">
        <v>0</v>
      </c>
      <c r="H120" s="341">
        <v>0</v>
      </c>
      <c r="I120" s="341">
        <v>0</v>
      </c>
      <c r="J120" s="341">
        <v>1</v>
      </c>
      <c r="K120" s="341"/>
      <c r="L120" s="341" t="s">
        <v>4</v>
      </c>
      <c r="M120" s="341" t="s">
        <v>983</v>
      </c>
      <c r="N120" s="341" t="s">
        <v>1245</v>
      </c>
      <c r="O120" s="341" t="s">
        <v>1518</v>
      </c>
      <c r="P120" s="341" t="s">
        <v>1089</v>
      </c>
      <c r="Q120" s="341" t="s">
        <v>345</v>
      </c>
      <c r="R120" s="341"/>
      <c r="S120" s="341" t="s">
        <v>1300</v>
      </c>
      <c r="T120" s="341" t="s">
        <v>1298</v>
      </c>
      <c r="U120" s="341" t="s">
        <v>40</v>
      </c>
      <c r="V120" s="341" t="s">
        <v>983</v>
      </c>
      <c r="W120" s="341" t="s">
        <v>75</v>
      </c>
      <c r="X120" s="341">
        <f t="shared" si="1"/>
      </c>
    </row>
    <row r="121" spans="1:24" ht="150" x14ac:dyDescent="0.2">
      <c r="A121" s="341" t="s">
        <v>355</v>
      </c>
      <c r="B121" s="341" t="s">
        <v>349</v>
      </c>
      <c r="C121" s="341">
        <v>0</v>
      </c>
      <c r="D121" s="341">
        <v>0</v>
      </c>
      <c r="E121" s="341">
        <v>1</v>
      </c>
      <c r="F121" s="341">
        <v>0</v>
      </c>
      <c r="G121" s="341">
        <v>0</v>
      </c>
      <c r="H121" s="341">
        <v>0</v>
      </c>
      <c r="I121" s="341">
        <v>0</v>
      </c>
      <c r="J121" s="341">
        <v>1</v>
      </c>
      <c r="K121" s="341"/>
      <c r="L121" s="341" t="s">
        <v>4</v>
      </c>
      <c r="M121" s="341" t="s">
        <v>983</v>
      </c>
      <c r="N121" s="341" t="s">
        <v>1245</v>
      </c>
      <c r="O121" s="341" t="s">
        <v>975</v>
      </c>
      <c r="P121" s="341" t="s">
        <v>350</v>
      </c>
      <c r="Q121" s="341" t="s">
        <v>351</v>
      </c>
      <c r="R121" s="341"/>
      <c r="S121" s="341" t="s">
        <v>1301</v>
      </c>
      <c r="T121" s="341" t="s">
        <v>1298</v>
      </c>
      <c r="U121" s="341" t="s">
        <v>40</v>
      </c>
      <c r="V121" s="341" t="s">
        <v>983</v>
      </c>
      <c r="W121" s="341" t="s">
        <v>75</v>
      </c>
      <c r="X121" s="341">
        <f t="shared" si="1"/>
      </c>
    </row>
    <row r="122" spans="1:24" ht="120" x14ac:dyDescent="0.2">
      <c r="A122" s="341" t="s">
        <v>359</v>
      </c>
      <c r="B122" s="341" t="s">
        <v>370</v>
      </c>
      <c r="C122" s="341">
        <v>0</v>
      </c>
      <c r="D122" s="341">
        <v>0</v>
      </c>
      <c r="E122" s="341">
        <v>1</v>
      </c>
      <c r="F122" s="341">
        <v>0</v>
      </c>
      <c r="G122" s="341">
        <v>0</v>
      </c>
      <c r="H122" s="341">
        <v>0</v>
      </c>
      <c r="I122" s="341">
        <v>0</v>
      </c>
      <c r="J122" s="341">
        <v>1</v>
      </c>
      <c r="K122" s="341"/>
      <c r="L122" s="341" t="s">
        <v>4</v>
      </c>
      <c r="M122" s="341" t="s">
        <v>983</v>
      </c>
      <c r="N122" s="341" t="s">
        <v>1245</v>
      </c>
      <c r="O122" s="341" t="s">
        <v>975</v>
      </c>
      <c r="P122" s="341" t="s">
        <v>371</v>
      </c>
      <c r="Q122" s="341" t="s">
        <v>1878</v>
      </c>
      <c r="R122" s="342"/>
      <c r="S122" s="341" t="s">
        <v>1302</v>
      </c>
      <c r="T122" s="341" t="s">
        <v>372</v>
      </c>
      <c r="U122" s="341" t="s">
        <v>40</v>
      </c>
      <c r="V122" s="341" t="s">
        <v>983</v>
      </c>
      <c r="W122" s="341" t="s">
        <v>75</v>
      </c>
      <c r="X122" s="341">
        <f t="shared" si="1"/>
      </c>
    </row>
    <row r="123" spans="1:24" ht="165" x14ac:dyDescent="0.2">
      <c r="A123" s="341" t="s">
        <v>363</v>
      </c>
      <c r="B123" s="341" t="s">
        <v>1090</v>
      </c>
      <c r="C123" s="341">
        <v>0</v>
      </c>
      <c r="D123" s="341">
        <v>0</v>
      </c>
      <c r="E123" s="341">
        <v>1</v>
      </c>
      <c r="F123" s="341">
        <v>0</v>
      </c>
      <c r="G123" s="341">
        <v>0</v>
      </c>
      <c r="H123" s="341">
        <v>0</v>
      </c>
      <c r="I123" s="341">
        <v>0</v>
      </c>
      <c r="J123" s="341">
        <v>1</v>
      </c>
      <c r="K123" s="341"/>
      <c r="L123" s="341" t="s">
        <v>4</v>
      </c>
      <c r="M123" s="341" t="s">
        <v>983</v>
      </c>
      <c r="N123" s="341" t="s">
        <v>1245</v>
      </c>
      <c r="O123" s="341" t="s">
        <v>975</v>
      </c>
      <c r="P123" s="341" t="s">
        <v>1091</v>
      </c>
      <c r="Q123" s="341" t="s">
        <v>1092</v>
      </c>
      <c r="R123" s="341"/>
      <c r="S123" s="341" t="s">
        <v>1303</v>
      </c>
      <c r="T123" s="341" t="s">
        <v>1093</v>
      </c>
      <c r="U123" s="341" t="s">
        <v>40</v>
      </c>
      <c r="V123" s="341" t="s">
        <v>983</v>
      </c>
      <c r="W123" s="341" t="s">
        <v>75</v>
      </c>
      <c r="X123" s="341">
        <f t="shared" si="1"/>
      </c>
    </row>
    <row r="124" spans="1:24" ht="148.5" customHeight="1" x14ac:dyDescent="0.2">
      <c r="A124" s="341" t="s">
        <v>369</v>
      </c>
      <c r="B124" s="341" t="s">
        <v>1094</v>
      </c>
      <c r="C124" s="341">
        <v>0</v>
      </c>
      <c r="D124" s="341">
        <v>0</v>
      </c>
      <c r="E124" s="341">
        <v>1</v>
      </c>
      <c r="F124" s="341">
        <v>0</v>
      </c>
      <c r="G124" s="341">
        <v>0</v>
      </c>
      <c r="H124" s="341">
        <v>0</v>
      </c>
      <c r="I124" s="341">
        <v>0</v>
      </c>
      <c r="J124" s="341">
        <v>1</v>
      </c>
      <c r="K124" s="341"/>
      <c r="L124" s="341" t="s">
        <v>4</v>
      </c>
      <c r="M124" s="341" t="s">
        <v>983</v>
      </c>
      <c r="N124" s="341" t="s">
        <v>1245</v>
      </c>
      <c r="O124" s="341" t="s">
        <v>975</v>
      </c>
      <c r="P124" s="341" t="s">
        <v>1095</v>
      </c>
      <c r="Q124" s="341" t="s">
        <v>1096</v>
      </c>
      <c r="R124" s="342" t="s">
        <v>1565</v>
      </c>
      <c r="S124" s="341" t="s">
        <v>1879</v>
      </c>
      <c r="T124" s="341" t="s">
        <v>1097</v>
      </c>
      <c r="U124" s="341" t="s">
        <v>40</v>
      </c>
      <c r="V124" s="341" t="s">
        <v>983</v>
      </c>
      <c r="W124" s="341" t="s">
        <v>75</v>
      </c>
      <c r="X124" s="341">
        <f t="shared" si="1"/>
      </c>
    </row>
    <row r="125" spans="1:24" ht="147" customHeight="1" x14ac:dyDescent="0.2">
      <c r="A125" s="341" t="s">
        <v>373</v>
      </c>
      <c r="B125" s="341" t="s">
        <v>380</v>
      </c>
      <c r="C125" s="341">
        <v>0</v>
      </c>
      <c r="D125" s="341">
        <v>0</v>
      </c>
      <c r="E125" s="341">
        <v>1</v>
      </c>
      <c r="F125" s="341">
        <v>0</v>
      </c>
      <c r="G125" s="341">
        <v>0</v>
      </c>
      <c r="H125" s="341">
        <v>0</v>
      </c>
      <c r="I125" s="341">
        <v>0</v>
      </c>
      <c r="J125" s="341">
        <v>1</v>
      </c>
      <c r="K125" s="341"/>
      <c r="L125" s="341" t="s">
        <v>4</v>
      </c>
      <c r="M125" s="341" t="s">
        <v>983</v>
      </c>
      <c r="N125" s="341" t="s">
        <v>1245</v>
      </c>
      <c r="O125" s="341" t="s">
        <v>975</v>
      </c>
      <c r="P125" s="341" t="s">
        <v>381</v>
      </c>
      <c r="Q125" s="341" t="s">
        <v>382</v>
      </c>
      <c r="R125" s="341"/>
      <c r="S125" s="341" t="s">
        <v>383</v>
      </c>
      <c r="T125" s="341" t="s">
        <v>384</v>
      </c>
      <c r="U125" s="341" t="s">
        <v>40</v>
      </c>
      <c r="V125" s="341" t="s">
        <v>983</v>
      </c>
      <c r="W125" s="341" t="s">
        <v>41</v>
      </c>
      <c r="X125" s="341">
        <f t="shared" si="1"/>
      </c>
    </row>
    <row r="126" spans="1:24" ht="165" x14ac:dyDescent="0.2">
      <c r="A126" s="341" t="s">
        <v>374</v>
      </c>
      <c r="B126" s="341" t="s">
        <v>1098</v>
      </c>
      <c r="C126" s="341">
        <v>0</v>
      </c>
      <c r="D126" s="341">
        <v>0</v>
      </c>
      <c r="E126" s="341">
        <v>1</v>
      </c>
      <c r="F126" s="341">
        <v>0</v>
      </c>
      <c r="G126" s="341">
        <v>0</v>
      </c>
      <c r="H126" s="341">
        <v>0</v>
      </c>
      <c r="I126" s="341">
        <v>0</v>
      </c>
      <c r="J126" s="341">
        <v>0</v>
      </c>
      <c r="K126" s="341"/>
      <c r="L126" s="341" t="s">
        <v>4</v>
      </c>
      <c r="M126" s="341" t="s">
        <v>983</v>
      </c>
      <c r="N126" s="341" t="s">
        <v>1245</v>
      </c>
      <c r="O126" s="341" t="s">
        <v>975</v>
      </c>
      <c r="P126" s="341" t="s">
        <v>388</v>
      </c>
      <c r="Q126" s="341" t="s">
        <v>389</v>
      </c>
      <c r="R126" s="341"/>
      <c r="S126" s="341" t="s">
        <v>390</v>
      </c>
      <c r="T126" s="341" t="s">
        <v>391</v>
      </c>
      <c r="U126" s="341" t="s">
        <v>40</v>
      </c>
      <c r="V126" s="341" t="s">
        <v>983</v>
      </c>
      <c r="W126" s="341" t="s">
        <v>75</v>
      </c>
      <c r="X126" s="341">
        <f t="shared" si="1"/>
      </c>
    </row>
    <row r="127" spans="1:24" ht="165" x14ac:dyDescent="0.2">
      <c r="A127" s="341" t="s">
        <v>375</v>
      </c>
      <c r="B127" s="341" t="s">
        <v>1463</v>
      </c>
      <c r="C127" s="341">
        <v>0</v>
      </c>
      <c r="D127" s="341">
        <v>0</v>
      </c>
      <c r="E127" s="341">
        <v>1</v>
      </c>
      <c r="F127" s="341">
        <v>0</v>
      </c>
      <c r="G127" s="341">
        <v>0</v>
      </c>
      <c r="H127" s="341">
        <v>0</v>
      </c>
      <c r="I127" s="341">
        <v>0</v>
      </c>
      <c r="J127" s="341">
        <v>0</v>
      </c>
      <c r="K127" s="341"/>
      <c r="L127" s="341" t="s">
        <v>4</v>
      </c>
      <c r="M127" s="341" t="s">
        <v>983</v>
      </c>
      <c r="N127" s="341" t="s">
        <v>1245</v>
      </c>
      <c r="O127" s="341" t="s">
        <v>975</v>
      </c>
      <c r="P127" s="341" t="s">
        <v>393</v>
      </c>
      <c r="Q127" s="341" t="s">
        <v>975</v>
      </c>
      <c r="R127" s="341"/>
      <c r="S127" s="341" t="s">
        <v>390</v>
      </c>
      <c r="T127" s="341" t="s">
        <v>394</v>
      </c>
      <c r="U127" s="341" t="s">
        <v>40</v>
      </c>
      <c r="V127" s="341" t="s">
        <v>983</v>
      </c>
      <c r="W127" s="341" t="s">
        <v>75</v>
      </c>
      <c r="X127" s="341">
        <f t="shared" si="1"/>
      </c>
    </row>
    <row r="128" spans="1:24" ht="180" x14ac:dyDescent="0.2">
      <c r="A128" s="341" t="s">
        <v>379</v>
      </c>
      <c r="B128" s="341" t="s">
        <v>1099</v>
      </c>
      <c r="C128" s="341">
        <v>0</v>
      </c>
      <c r="D128" s="341">
        <v>0</v>
      </c>
      <c r="E128" s="341">
        <v>1</v>
      </c>
      <c r="F128" s="341">
        <v>0</v>
      </c>
      <c r="G128" s="341">
        <v>0</v>
      </c>
      <c r="H128" s="341">
        <v>0</v>
      </c>
      <c r="I128" s="341">
        <v>0</v>
      </c>
      <c r="J128" s="341">
        <v>1</v>
      </c>
      <c r="K128" s="341"/>
      <c r="L128" s="341" t="s">
        <v>4</v>
      </c>
      <c r="M128" s="341" t="s">
        <v>983</v>
      </c>
      <c r="N128" s="341" t="s">
        <v>1245</v>
      </c>
      <c r="O128" s="341" t="s">
        <v>975</v>
      </c>
      <c r="P128" s="341" t="s">
        <v>975</v>
      </c>
      <c r="Q128" s="341" t="s">
        <v>403</v>
      </c>
      <c r="R128" s="341"/>
      <c r="S128" s="341" t="s">
        <v>1304</v>
      </c>
      <c r="T128" s="341" t="s">
        <v>1305</v>
      </c>
      <c r="U128" s="341" t="s">
        <v>148</v>
      </c>
      <c r="V128" s="341" t="s">
        <v>983</v>
      </c>
      <c r="W128" s="341" t="s">
        <v>75</v>
      </c>
      <c r="X128" s="341">
        <f t="shared" si="1"/>
      </c>
    </row>
    <row r="129" spans="1:24" ht="409" customHeight="1" x14ac:dyDescent="0.2">
      <c r="A129" s="341" t="s">
        <v>385</v>
      </c>
      <c r="B129" s="341" t="s">
        <v>404</v>
      </c>
      <c r="C129" s="341">
        <v>0</v>
      </c>
      <c r="D129" s="341">
        <v>0</v>
      </c>
      <c r="E129" s="341">
        <v>1</v>
      </c>
      <c r="F129" s="341">
        <v>0</v>
      </c>
      <c r="G129" s="341">
        <v>0</v>
      </c>
      <c r="H129" s="341">
        <v>0</v>
      </c>
      <c r="I129" s="341">
        <v>0</v>
      </c>
      <c r="J129" s="341">
        <v>0</v>
      </c>
      <c r="K129" s="341"/>
      <c r="L129" s="341" t="s">
        <v>4</v>
      </c>
      <c r="M129" s="341" t="s">
        <v>983</v>
      </c>
      <c r="N129" s="341" t="s">
        <v>1245</v>
      </c>
      <c r="O129" s="341" t="s">
        <v>975</v>
      </c>
      <c r="P129" s="341" t="s">
        <v>975</v>
      </c>
      <c r="Q129" s="341" t="s">
        <v>405</v>
      </c>
      <c r="R129" s="341"/>
      <c r="S129" s="341" t="s">
        <v>1393</v>
      </c>
      <c r="T129" s="341" t="s">
        <v>406</v>
      </c>
      <c r="U129" s="341" t="s">
        <v>40</v>
      </c>
      <c r="V129" s="341" t="s">
        <v>983</v>
      </c>
      <c r="W129" s="341" t="s">
        <v>75</v>
      </c>
      <c r="X129" s="341">
        <f t="shared" si="1"/>
      </c>
    </row>
    <row r="130" spans="1:24" ht="294" customHeight="1" x14ac:dyDescent="0.2">
      <c r="A130" s="341" t="s">
        <v>387</v>
      </c>
      <c r="B130" s="341" t="s">
        <v>1182</v>
      </c>
      <c r="C130" s="341">
        <v>0</v>
      </c>
      <c r="D130" s="341">
        <v>0</v>
      </c>
      <c r="E130" s="341">
        <v>1</v>
      </c>
      <c r="F130" s="341">
        <v>0</v>
      </c>
      <c r="G130" s="341">
        <v>0</v>
      </c>
      <c r="H130" s="341">
        <v>0</v>
      </c>
      <c r="I130" s="341">
        <v>0</v>
      </c>
      <c r="J130" s="341">
        <v>0</v>
      </c>
      <c r="K130" s="341"/>
      <c r="L130" s="341" t="s">
        <v>4</v>
      </c>
      <c r="M130" s="341" t="s">
        <v>983</v>
      </c>
      <c r="N130" s="341" t="s">
        <v>1245</v>
      </c>
      <c r="O130" s="341" t="s">
        <v>975</v>
      </c>
      <c r="P130" s="341" t="s">
        <v>326</v>
      </c>
      <c r="Q130" s="341" t="s">
        <v>327</v>
      </c>
      <c r="R130" s="341"/>
      <c r="S130" s="341" t="s">
        <v>1306</v>
      </c>
      <c r="T130" s="341" t="s">
        <v>328</v>
      </c>
      <c r="U130" s="341" t="s">
        <v>40</v>
      </c>
      <c r="V130" s="341" t="s">
        <v>983</v>
      </c>
      <c r="W130" s="341" t="s">
        <v>41</v>
      </c>
      <c r="X130" s="341">
        <f t="shared" si="1"/>
      </c>
    </row>
    <row r="131" spans="1:24" ht="220.5" customHeight="1" x14ac:dyDescent="0.2">
      <c r="A131" s="341" t="s">
        <v>392</v>
      </c>
      <c r="B131" s="341" t="s">
        <v>353</v>
      </c>
      <c r="C131" s="341">
        <v>0</v>
      </c>
      <c r="D131" s="341">
        <v>0</v>
      </c>
      <c r="E131" s="341">
        <v>1</v>
      </c>
      <c r="F131" s="341">
        <v>0</v>
      </c>
      <c r="G131" s="341">
        <v>0</v>
      </c>
      <c r="H131" s="341">
        <v>0</v>
      </c>
      <c r="I131" s="341">
        <v>0</v>
      </c>
      <c r="J131" s="341">
        <v>1</v>
      </c>
      <c r="K131" s="341"/>
      <c r="L131" s="341" t="s">
        <v>4</v>
      </c>
      <c r="M131" s="341" t="s">
        <v>983</v>
      </c>
      <c r="N131" s="341" t="s">
        <v>1245</v>
      </c>
      <c r="O131" s="341" t="s">
        <v>975</v>
      </c>
      <c r="P131" s="341" t="s">
        <v>354</v>
      </c>
      <c r="Q131" s="341" t="s">
        <v>1880</v>
      </c>
      <c r="R131" s="341"/>
      <c r="S131" s="341" t="s">
        <v>1307</v>
      </c>
      <c r="T131" s="341" t="s">
        <v>1299</v>
      </c>
      <c r="U131" s="341" t="s">
        <v>40</v>
      </c>
      <c r="V131" s="341" t="s">
        <v>983</v>
      </c>
      <c r="W131" s="341" t="s">
        <v>41</v>
      </c>
      <c r="X131" s="341">
        <f t="shared" si="1"/>
      </c>
    </row>
    <row r="132" spans="1:24" ht="135" x14ac:dyDescent="0.2">
      <c r="A132" s="341" t="s">
        <v>395</v>
      </c>
      <c r="B132" s="341" t="s">
        <v>360</v>
      </c>
      <c r="C132" s="341">
        <v>0</v>
      </c>
      <c r="D132" s="341">
        <v>0</v>
      </c>
      <c r="E132" s="341">
        <v>1</v>
      </c>
      <c r="F132" s="341">
        <v>0</v>
      </c>
      <c r="G132" s="341">
        <v>0</v>
      </c>
      <c r="H132" s="341">
        <v>0</v>
      </c>
      <c r="I132" s="341">
        <v>0</v>
      </c>
      <c r="J132" s="341">
        <v>1</v>
      </c>
      <c r="K132" s="341"/>
      <c r="L132" s="341" t="s">
        <v>4</v>
      </c>
      <c r="M132" s="341" t="s">
        <v>983</v>
      </c>
      <c r="N132" s="341" t="s">
        <v>1245</v>
      </c>
      <c r="O132" s="341" t="s">
        <v>975</v>
      </c>
      <c r="P132" s="341" t="s">
        <v>361</v>
      </c>
      <c r="Q132" s="341" t="s">
        <v>362</v>
      </c>
      <c r="R132" s="341"/>
      <c r="S132" s="341" t="s">
        <v>358</v>
      </c>
      <c r="T132" s="341" t="s">
        <v>1299</v>
      </c>
      <c r="U132" s="341" t="s">
        <v>40</v>
      </c>
      <c r="V132" s="341" t="s">
        <v>983</v>
      </c>
      <c r="W132" s="341" t="s">
        <v>41</v>
      </c>
      <c r="X132" s="341">
        <f t="shared" si="1"/>
      </c>
    </row>
    <row r="133" spans="1:24" ht="180" x14ac:dyDescent="0.2">
      <c r="A133" s="341" t="s">
        <v>398</v>
      </c>
      <c r="B133" s="341" t="s">
        <v>364</v>
      </c>
      <c r="C133" s="341">
        <v>0</v>
      </c>
      <c r="D133" s="341">
        <v>0</v>
      </c>
      <c r="E133" s="341">
        <v>1</v>
      </c>
      <c r="F133" s="341">
        <v>0</v>
      </c>
      <c r="G133" s="341">
        <v>0</v>
      </c>
      <c r="H133" s="341">
        <v>0</v>
      </c>
      <c r="I133" s="341">
        <v>0</v>
      </c>
      <c r="J133" s="341">
        <v>1</v>
      </c>
      <c r="K133" s="341"/>
      <c r="L133" s="341" t="s">
        <v>4</v>
      </c>
      <c r="M133" s="341" t="s">
        <v>983</v>
      </c>
      <c r="N133" s="341" t="s">
        <v>1245</v>
      </c>
      <c r="O133" s="341" t="s">
        <v>365</v>
      </c>
      <c r="P133" s="341" t="s">
        <v>366</v>
      </c>
      <c r="Q133" s="341" t="s">
        <v>367</v>
      </c>
      <c r="R133" s="341"/>
      <c r="S133" s="341" t="s">
        <v>368</v>
      </c>
      <c r="T133" s="341" t="s">
        <v>1308</v>
      </c>
      <c r="U133" s="341" t="s">
        <v>40</v>
      </c>
      <c r="V133" s="341" t="s">
        <v>983</v>
      </c>
      <c r="W133" s="341" t="s">
        <v>41</v>
      </c>
      <c r="X133" s="341">
        <f t="shared" si="1"/>
      </c>
    </row>
    <row r="134" spans="1:24" ht="240" x14ac:dyDescent="0.2">
      <c r="A134" s="341" t="s">
        <v>402</v>
      </c>
      <c r="B134" s="341" t="s">
        <v>1100</v>
      </c>
      <c r="C134" s="341">
        <v>0</v>
      </c>
      <c r="D134" s="341">
        <v>0</v>
      </c>
      <c r="E134" s="341">
        <v>1</v>
      </c>
      <c r="F134" s="341">
        <v>0</v>
      </c>
      <c r="G134" s="341">
        <v>0</v>
      </c>
      <c r="H134" s="341">
        <v>0</v>
      </c>
      <c r="I134" s="341">
        <v>0</v>
      </c>
      <c r="J134" s="341">
        <v>0</v>
      </c>
      <c r="K134" s="341"/>
      <c r="L134" s="341" t="s">
        <v>4</v>
      </c>
      <c r="M134" s="341" t="s">
        <v>983</v>
      </c>
      <c r="N134" s="341" t="s">
        <v>1245</v>
      </c>
      <c r="O134" s="341" t="s">
        <v>386</v>
      </c>
      <c r="P134" s="341" t="s">
        <v>386</v>
      </c>
      <c r="Q134" s="341" t="s">
        <v>386</v>
      </c>
      <c r="R134" s="341"/>
      <c r="S134" s="341" t="s">
        <v>1309</v>
      </c>
      <c r="T134" s="341" t="s">
        <v>1310</v>
      </c>
      <c r="U134" s="341" t="s">
        <v>40</v>
      </c>
      <c r="V134" s="341" t="s">
        <v>983</v>
      </c>
      <c r="W134" s="341" t="s">
        <v>41</v>
      </c>
      <c r="X134" s="341">
        <f t="shared" si="1"/>
      </c>
    </row>
    <row r="135" spans="1:24" ht="270" x14ac:dyDescent="0.2">
      <c r="A135" s="224" t="s">
        <v>407</v>
      </c>
      <c r="B135" s="341" t="s">
        <v>408</v>
      </c>
      <c r="C135" s="341">
        <v>0</v>
      </c>
      <c r="D135" s="341">
        <v>0</v>
      </c>
      <c r="E135" s="341">
        <v>0</v>
      </c>
      <c r="F135" s="341">
        <v>1</v>
      </c>
      <c r="G135" s="341">
        <v>0</v>
      </c>
      <c r="H135" s="341">
        <v>0</v>
      </c>
      <c r="I135" s="341">
        <v>0</v>
      </c>
      <c r="J135" s="341">
        <v>1</v>
      </c>
      <c r="K135" s="341"/>
      <c r="L135" s="341" t="s">
        <v>1004</v>
      </c>
      <c r="M135" s="341" t="s">
        <v>983</v>
      </c>
      <c r="N135" s="341" t="s">
        <v>1311</v>
      </c>
      <c r="O135" s="341" t="s">
        <v>409</v>
      </c>
      <c r="P135" s="341" t="s">
        <v>409</v>
      </c>
      <c r="Q135" s="341" t="s">
        <v>409</v>
      </c>
      <c r="R135" s="341"/>
      <c r="S135" s="341" t="s">
        <v>410</v>
      </c>
      <c r="T135" s="341" t="s">
        <v>411</v>
      </c>
      <c r="U135" s="341" t="s">
        <v>1004</v>
      </c>
      <c r="V135" s="341" t="s">
        <v>983</v>
      </c>
      <c r="W135" s="341"/>
      <c r="X135" s="341"/>
    </row>
    <row r="136" spans="1:24" ht="384" x14ac:dyDescent="0.2">
      <c r="A136" s="341" t="s">
        <v>412</v>
      </c>
      <c r="B136" s="341" t="s">
        <v>1457</v>
      </c>
      <c r="C136" s="341">
        <v>0</v>
      </c>
      <c r="D136" s="341">
        <v>0</v>
      </c>
      <c r="E136" s="341">
        <v>0</v>
      </c>
      <c r="F136" s="341">
        <v>1</v>
      </c>
      <c r="G136" s="341">
        <v>0</v>
      </c>
      <c r="H136" s="341">
        <v>0</v>
      </c>
      <c r="I136" s="341">
        <v>0</v>
      </c>
      <c r="J136" s="341">
        <v>0</v>
      </c>
      <c r="K136" s="341"/>
      <c r="L136" s="341" t="s">
        <v>162</v>
      </c>
      <c r="M136" s="341" t="s">
        <v>983</v>
      </c>
      <c r="N136" s="341" t="s">
        <v>975</v>
      </c>
      <c r="O136" s="341" t="s">
        <v>975</v>
      </c>
      <c r="P136" s="341" t="s">
        <v>975</v>
      </c>
      <c r="Q136" s="341" t="s">
        <v>413</v>
      </c>
      <c r="R136" s="341"/>
      <c r="S136" s="341" t="s">
        <v>1312</v>
      </c>
      <c r="T136" s="341" t="s">
        <v>1313</v>
      </c>
      <c r="U136" s="341" t="s">
        <v>40</v>
      </c>
      <c r="V136" s="341" t="s">
        <v>983</v>
      </c>
      <c r="W136" s="341" t="s">
        <v>75</v>
      </c>
      <c r="X136" s="341">
        <f t="shared" si="1"/>
      </c>
    </row>
    <row r="137" spans="1:24" ht="339.75" customHeight="1" x14ac:dyDescent="0.2">
      <c r="A137" s="224" t="s">
        <v>414</v>
      </c>
      <c r="B137" s="341" t="s">
        <v>1101</v>
      </c>
      <c r="C137" s="341">
        <v>0</v>
      </c>
      <c r="D137" s="341">
        <v>0</v>
      </c>
      <c r="E137" s="341">
        <v>0</v>
      </c>
      <c r="F137" s="341">
        <v>1</v>
      </c>
      <c r="G137" s="341">
        <v>0</v>
      </c>
      <c r="H137" s="341">
        <v>0</v>
      </c>
      <c r="I137" s="341">
        <v>0</v>
      </c>
      <c r="J137" s="341">
        <v>1</v>
      </c>
      <c r="K137" s="341"/>
      <c r="L137" s="341" t="s">
        <v>162</v>
      </c>
      <c r="M137" s="341" t="s">
        <v>983</v>
      </c>
      <c r="N137" s="341" t="s">
        <v>975</v>
      </c>
      <c r="O137" s="341" t="s">
        <v>415</v>
      </c>
      <c r="P137" s="341" t="s">
        <v>416</v>
      </c>
      <c r="Q137" s="341" t="s">
        <v>415</v>
      </c>
      <c r="R137" s="341"/>
      <c r="S137" s="341" t="s">
        <v>1314</v>
      </c>
      <c r="T137" s="341" t="s">
        <v>1315</v>
      </c>
      <c r="U137" s="341" t="s">
        <v>40</v>
      </c>
      <c r="V137" s="341" t="s">
        <v>983</v>
      </c>
      <c r="W137" s="341" t="s">
        <v>75</v>
      </c>
      <c r="X137" s="341">
        <f t="shared" si="1"/>
      </c>
    </row>
    <row r="138" spans="1:24" ht="186" customHeight="1" x14ac:dyDescent="0.2">
      <c r="A138" s="341" t="s">
        <v>417</v>
      </c>
      <c r="B138" s="341" t="s">
        <v>418</v>
      </c>
      <c r="C138" s="341">
        <v>0</v>
      </c>
      <c r="D138" s="341">
        <v>0</v>
      </c>
      <c r="E138" s="341">
        <v>0</v>
      </c>
      <c r="F138" s="341">
        <v>1</v>
      </c>
      <c r="G138" s="341">
        <v>0</v>
      </c>
      <c r="H138" s="341">
        <v>0</v>
      </c>
      <c r="I138" s="341">
        <v>0</v>
      </c>
      <c r="J138" s="341">
        <v>0</v>
      </c>
      <c r="K138" s="341"/>
      <c r="L138" s="341" t="s">
        <v>162</v>
      </c>
      <c r="M138" s="341" t="s">
        <v>983</v>
      </c>
      <c r="N138" s="341" t="s">
        <v>975</v>
      </c>
      <c r="O138" s="341" t="s">
        <v>975</v>
      </c>
      <c r="P138" s="341" t="s">
        <v>419</v>
      </c>
      <c r="Q138" s="341" t="s">
        <v>420</v>
      </c>
      <c r="R138" s="341"/>
      <c r="S138" s="341" t="s">
        <v>1394</v>
      </c>
      <c r="T138" s="341" t="s">
        <v>421</v>
      </c>
      <c r="U138" s="341" t="s">
        <v>40</v>
      </c>
      <c r="V138" s="341" t="s">
        <v>983</v>
      </c>
      <c r="W138" s="341" t="s">
        <v>75</v>
      </c>
      <c r="X138" s="341">
        <f t="shared" si="1"/>
      </c>
    </row>
    <row r="139" spans="1:24" ht="180" x14ac:dyDescent="0.2">
      <c r="A139" s="224" t="s">
        <v>422</v>
      </c>
      <c r="B139" s="341" t="s">
        <v>1462</v>
      </c>
      <c r="C139" s="341">
        <v>0</v>
      </c>
      <c r="D139" s="341">
        <v>0</v>
      </c>
      <c r="E139" s="341">
        <v>0</v>
      </c>
      <c r="F139" s="341">
        <v>1</v>
      </c>
      <c r="G139" s="341">
        <v>0</v>
      </c>
      <c r="H139" s="341">
        <v>0</v>
      </c>
      <c r="I139" s="341">
        <v>0</v>
      </c>
      <c r="J139" s="341">
        <v>0</v>
      </c>
      <c r="K139" s="341"/>
      <c r="L139" s="341" t="s">
        <v>162</v>
      </c>
      <c r="M139" s="341" t="s">
        <v>983</v>
      </c>
      <c r="N139" s="341" t="s">
        <v>975</v>
      </c>
      <c r="O139" s="341" t="s">
        <v>975</v>
      </c>
      <c r="P139" s="341" t="s">
        <v>1102</v>
      </c>
      <c r="Q139" s="341" t="s">
        <v>423</v>
      </c>
      <c r="R139" s="341"/>
      <c r="S139" s="341" t="s">
        <v>1316</v>
      </c>
      <c r="T139" s="341" t="s">
        <v>424</v>
      </c>
      <c r="U139" s="341" t="s">
        <v>40</v>
      </c>
      <c r="V139" s="341" t="s">
        <v>983</v>
      </c>
      <c r="W139" s="341" t="s">
        <v>75</v>
      </c>
      <c r="X139" s="341">
        <f t="shared" si="1"/>
      </c>
    </row>
    <row r="140" spans="1:24" ht="180" x14ac:dyDescent="0.2">
      <c r="A140" s="353" t="s">
        <v>425</v>
      </c>
      <c r="B140" s="353" t="s">
        <v>1005</v>
      </c>
      <c r="C140" s="341">
        <v>0</v>
      </c>
      <c r="D140" s="341">
        <v>0</v>
      </c>
      <c r="E140" s="341">
        <v>0</v>
      </c>
      <c r="F140" s="341">
        <v>1</v>
      </c>
      <c r="G140" s="341">
        <v>0</v>
      </c>
      <c r="H140" s="341">
        <v>0</v>
      </c>
      <c r="I140" s="341">
        <v>0</v>
      </c>
      <c r="J140" s="341">
        <v>0</v>
      </c>
      <c r="K140" s="341"/>
      <c r="L140" s="341" t="s">
        <v>162</v>
      </c>
      <c r="M140" s="341" t="s">
        <v>983</v>
      </c>
      <c r="N140" s="341" t="s">
        <v>975</v>
      </c>
      <c r="O140" s="341" t="s">
        <v>975</v>
      </c>
      <c r="P140" s="341" t="s">
        <v>426</v>
      </c>
      <c r="Q140" s="341" t="s">
        <v>975</v>
      </c>
      <c r="R140" s="341"/>
      <c r="S140" s="341" t="s">
        <v>1316</v>
      </c>
      <c r="T140" s="341" t="s">
        <v>424</v>
      </c>
      <c r="U140" s="341" t="s">
        <v>40</v>
      </c>
      <c r="V140" s="341" t="s">
        <v>983</v>
      </c>
      <c r="W140" s="341" t="s">
        <v>46</v>
      </c>
      <c r="X140" s="341">
        <f t="shared" ref="X140:X203" si="2">IF($W140="Critical Importance",20,IF($W140="Minor Importance",5,10))</f>
      </c>
    </row>
    <row r="141" spans="1:24" ht="214.5" customHeight="1" x14ac:dyDescent="0.2">
      <c r="A141" s="224" t="s">
        <v>427</v>
      </c>
      <c r="B141" s="341" t="s">
        <v>428</v>
      </c>
      <c r="C141" s="341">
        <v>0</v>
      </c>
      <c r="D141" s="341">
        <v>0</v>
      </c>
      <c r="E141" s="341">
        <v>0</v>
      </c>
      <c r="F141" s="341">
        <v>1</v>
      </c>
      <c r="G141" s="341">
        <v>0</v>
      </c>
      <c r="H141" s="341">
        <v>0</v>
      </c>
      <c r="I141" s="341">
        <v>0</v>
      </c>
      <c r="J141" s="341">
        <v>0</v>
      </c>
      <c r="K141" s="341"/>
      <c r="L141" s="341" t="s">
        <v>162</v>
      </c>
      <c r="M141" s="341" t="s">
        <v>983</v>
      </c>
      <c r="N141" s="341" t="s">
        <v>975</v>
      </c>
      <c r="O141" s="341" t="s">
        <v>975</v>
      </c>
      <c r="P141" s="341" t="s">
        <v>429</v>
      </c>
      <c r="Q141" s="341" t="s">
        <v>430</v>
      </c>
      <c r="R141" s="341"/>
      <c r="S141" s="341" t="s">
        <v>1317</v>
      </c>
      <c r="T141" s="341" t="s">
        <v>431</v>
      </c>
      <c r="U141" s="341" t="s">
        <v>40</v>
      </c>
      <c r="V141" s="341" t="s">
        <v>983</v>
      </c>
      <c r="W141" s="341" t="s">
        <v>75</v>
      </c>
      <c r="X141" s="341">
        <f t="shared" si="2"/>
      </c>
    </row>
    <row r="142" spans="1:24" ht="75" x14ac:dyDescent="0.2">
      <c r="A142" s="341" t="s">
        <v>432</v>
      </c>
      <c r="B142" s="341" t="s">
        <v>435</v>
      </c>
      <c r="C142" s="341">
        <v>0</v>
      </c>
      <c r="D142" s="341">
        <v>0</v>
      </c>
      <c r="E142" s="341">
        <v>0</v>
      </c>
      <c r="F142" s="341">
        <v>1</v>
      </c>
      <c r="G142" s="341">
        <v>0</v>
      </c>
      <c r="H142" s="341">
        <v>0</v>
      </c>
      <c r="I142" s="341">
        <v>0</v>
      </c>
      <c r="J142" s="341">
        <v>0</v>
      </c>
      <c r="K142" s="341"/>
      <c r="L142" s="341" t="s">
        <v>162</v>
      </c>
      <c r="M142" s="341" t="s">
        <v>983</v>
      </c>
      <c r="N142" s="341" t="s">
        <v>975</v>
      </c>
      <c r="O142" s="341" t="s">
        <v>975</v>
      </c>
      <c r="P142" s="341" t="s">
        <v>436</v>
      </c>
      <c r="Q142" s="341" t="s">
        <v>437</v>
      </c>
      <c r="R142" s="341"/>
      <c r="S142" s="341" t="s">
        <v>438</v>
      </c>
      <c r="T142" s="341" t="s">
        <v>1318</v>
      </c>
      <c r="U142" s="341" t="s">
        <v>40</v>
      </c>
      <c r="V142" s="341" t="s">
        <v>983</v>
      </c>
      <c r="W142" s="341" t="s">
        <v>75</v>
      </c>
      <c r="X142" s="341">
        <f t="shared" si="2"/>
      </c>
    </row>
    <row r="143" spans="1:24" ht="75" x14ac:dyDescent="0.2">
      <c r="A143" s="224" t="s">
        <v>433</v>
      </c>
      <c r="B143" s="341" t="s">
        <v>440</v>
      </c>
      <c r="C143" s="341">
        <v>0</v>
      </c>
      <c r="D143" s="341">
        <v>0</v>
      </c>
      <c r="E143" s="341">
        <v>0</v>
      </c>
      <c r="F143" s="341">
        <v>1</v>
      </c>
      <c r="G143" s="341">
        <v>0</v>
      </c>
      <c r="H143" s="341">
        <v>0</v>
      </c>
      <c r="I143" s="341">
        <v>0</v>
      </c>
      <c r="J143" s="341">
        <v>0</v>
      </c>
      <c r="K143" s="341"/>
      <c r="L143" s="341" t="s">
        <v>162</v>
      </c>
      <c r="M143" s="341" t="s">
        <v>983</v>
      </c>
      <c r="N143" s="341" t="s">
        <v>975</v>
      </c>
      <c r="O143" s="341" t="s">
        <v>975</v>
      </c>
      <c r="P143" s="341" t="s">
        <v>441</v>
      </c>
      <c r="Q143" s="341" t="s">
        <v>1881</v>
      </c>
      <c r="R143" s="341"/>
      <c r="S143" s="341" t="s">
        <v>438</v>
      </c>
      <c r="T143" s="341" t="s">
        <v>1318</v>
      </c>
      <c r="U143" s="341" t="s">
        <v>40</v>
      </c>
      <c r="V143" s="341" t="s">
        <v>983</v>
      </c>
      <c r="W143" s="341" t="s">
        <v>75</v>
      </c>
      <c r="X143" s="341">
        <f t="shared" si="2"/>
      </c>
    </row>
    <row r="144" spans="1:24" ht="192.75" customHeight="1" x14ac:dyDescent="0.2">
      <c r="A144" s="353" t="s">
        <v>434</v>
      </c>
      <c r="B144" s="353" t="s">
        <v>1006</v>
      </c>
      <c r="C144" s="341">
        <v>0</v>
      </c>
      <c r="D144" s="341">
        <v>0</v>
      </c>
      <c r="E144" s="341">
        <v>0</v>
      </c>
      <c r="F144" s="341">
        <v>1</v>
      </c>
      <c r="G144" s="341">
        <v>0</v>
      </c>
      <c r="H144" s="341">
        <v>0</v>
      </c>
      <c r="I144" s="341">
        <v>0</v>
      </c>
      <c r="J144" s="341">
        <v>0</v>
      </c>
      <c r="K144" s="341"/>
      <c r="L144" s="341" t="s">
        <v>162</v>
      </c>
      <c r="M144" s="341" t="s">
        <v>983</v>
      </c>
      <c r="N144" s="341" t="s">
        <v>975</v>
      </c>
      <c r="O144" s="341" t="s">
        <v>975</v>
      </c>
      <c r="P144" s="341" t="s">
        <v>443</v>
      </c>
      <c r="Q144" s="341" t="s">
        <v>444</v>
      </c>
      <c r="R144" s="341"/>
      <c r="S144" s="341" t="s">
        <v>1103</v>
      </c>
      <c r="T144" s="341" t="s">
        <v>445</v>
      </c>
      <c r="U144" s="341" t="s">
        <v>40</v>
      </c>
      <c r="V144" s="341" t="s">
        <v>983</v>
      </c>
      <c r="W144" s="341" t="s">
        <v>46</v>
      </c>
      <c r="X144" s="341">
        <f t="shared" si="2"/>
      </c>
    </row>
    <row r="145" spans="1:24" ht="135" x14ac:dyDescent="0.2">
      <c r="A145" s="224" t="s">
        <v>439</v>
      </c>
      <c r="B145" s="341" t="s">
        <v>1469</v>
      </c>
      <c r="C145" s="341">
        <v>0</v>
      </c>
      <c r="D145" s="341">
        <v>0</v>
      </c>
      <c r="E145" s="341">
        <v>0</v>
      </c>
      <c r="F145" s="341">
        <v>1</v>
      </c>
      <c r="G145" s="341">
        <v>0</v>
      </c>
      <c r="H145" s="341">
        <v>0</v>
      </c>
      <c r="I145" s="341">
        <v>0</v>
      </c>
      <c r="J145" s="341">
        <v>0</v>
      </c>
      <c r="K145" s="341"/>
      <c r="L145" s="341" t="s">
        <v>162</v>
      </c>
      <c r="M145" s="341" t="s">
        <v>983</v>
      </c>
      <c r="N145" s="341" t="s">
        <v>975</v>
      </c>
      <c r="O145" s="341"/>
      <c r="P145" s="341" t="s">
        <v>975</v>
      </c>
      <c r="Q145" s="341" t="s">
        <v>975</v>
      </c>
      <c r="R145" s="341"/>
      <c r="S145" s="341" t="s">
        <v>1104</v>
      </c>
      <c r="T145" s="341" t="s">
        <v>447</v>
      </c>
      <c r="U145" s="341" t="s">
        <v>40</v>
      </c>
      <c r="V145" s="341" t="s">
        <v>983</v>
      </c>
      <c r="W145" s="341" t="s">
        <v>75</v>
      </c>
      <c r="X145" s="341">
        <f t="shared" si="2"/>
      </c>
    </row>
    <row r="146" spans="1:24" ht="75" x14ac:dyDescent="0.2">
      <c r="A146" s="341" t="s">
        <v>442</v>
      </c>
      <c r="B146" s="341" t="s">
        <v>449</v>
      </c>
      <c r="C146" s="341">
        <v>0</v>
      </c>
      <c r="D146" s="341">
        <v>0</v>
      </c>
      <c r="E146" s="341">
        <v>0</v>
      </c>
      <c r="F146" s="341">
        <v>1</v>
      </c>
      <c r="G146" s="341">
        <v>0</v>
      </c>
      <c r="H146" s="341">
        <v>0</v>
      </c>
      <c r="I146" s="341">
        <v>0</v>
      </c>
      <c r="J146" s="341">
        <v>0</v>
      </c>
      <c r="K146" s="341"/>
      <c r="L146" s="341" t="s">
        <v>162</v>
      </c>
      <c r="M146" s="341" t="s">
        <v>983</v>
      </c>
      <c r="N146" s="341" t="s">
        <v>975</v>
      </c>
      <c r="O146" s="341" t="s">
        <v>450</v>
      </c>
      <c r="P146" s="341" t="s">
        <v>450</v>
      </c>
      <c r="Q146" s="341" t="s">
        <v>451</v>
      </c>
      <c r="R146" s="341"/>
      <c r="S146" s="341" t="s">
        <v>438</v>
      </c>
      <c r="T146" s="341" t="s">
        <v>1318</v>
      </c>
      <c r="U146" s="341" t="s">
        <v>40</v>
      </c>
      <c r="V146" s="341" t="s">
        <v>983</v>
      </c>
      <c r="W146" s="341" t="s">
        <v>75</v>
      </c>
      <c r="X146" s="341">
        <f t="shared" si="2"/>
      </c>
    </row>
    <row r="147" spans="1:24" ht="75" x14ac:dyDescent="0.2">
      <c r="A147" s="224" t="s">
        <v>446</v>
      </c>
      <c r="B147" s="341" t="s">
        <v>453</v>
      </c>
      <c r="C147" s="341">
        <v>0</v>
      </c>
      <c r="D147" s="341">
        <v>0</v>
      </c>
      <c r="E147" s="341">
        <v>0</v>
      </c>
      <c r="F147" s="341">
        <v>1</v>
      </c>
      <c r="G147" s="341">
        <v>0</v>
      </c>
      <c r="H147" s="341">
        <v>0</v>
      </c>
      <c r="I147" s="341">
        <v>0</v>
      </c>
      <c r="J147" s="341">
        <v>0</v>
      </c>
      <c r="K147" s="341"/>
      <c r="L147" s="341" t="s">
        <v>162</v>
      </c>
      <c r="M147" s="341" t="s">
        <v>983</v>
      </c>
      <c r="N147" s="341" t="s">
        <v>975</v>
      </c>
      <c r="O147" s="341" t="s">
        <v>975</v>
      </c>
      <c r="P147" s="341" t="s">
        <v>454</v>
      </c>
      <c r="Q147" s="341" t="s">
        <v>455</v>
      </c>
      <c r="R147" s="341"/>
      <c r="S147" s="341" t="s">
        <v>438</v>
      </c>
      <c r="T147" s="341" t="s">
        <v>1318</v>
      </c>
      <c r="U147" s="341" t="s">
        <v>40</v>
      </c>
      <c r="V147" s="341" t="s">
        <v>983</v>
      </c>
      <c r="W147" s="341" t="s">
        <v>75</v>
      </c>
      <c r="X147" s="341">
        <f t="shared" si="2"/>
      </c>
    </row>
    <row r="148" spans="1:24" ht="120" x14ac:dyDescent="0.2">
      <c r="A148" s="341" t="s">
        <v>448</v>
      </c>
      <c r="B148" s="341" t="s">
        <v>1458</v>
      </c>
      <c r="C148" s="341">
        <v>0</v>
      </c>
      <c r="D148" s="341">
        <v>0</v>
      </c>
      <c r="E148" s="341">
        <v>0</v>
      </c>
      <c r="F148" s="341">
        <v>1</v>
      </c>
      <c r="G148" s="341">
        <v>0</v>
      </c>
      <c r="H148" s="341">
        <v>0</v>
      </c>
      <c r="I148" s="341">
        <v>0</v>
      </c>
      <c r="J148" s="341">
        <v>0</v>
      </c>
      <c r="K148" s="341"/>
      <c r="L148" s="341" t="s">
        <v>162</v>
      </c>
      <c r="M148" s="341" t="s">
        <v>983</v>
      </c>
      <c r="N148" s="341" t="s">
        <v>975</v>
      </c>
      <c r="O148" s="341" t="s">
        <v>975</v>
      </c>
      <c r="P148" s="341" t="s">
        <v>457</v>
      </c>
      <c r="Q148" s="341" t="s">
        <v>458</v>
      </c>
      <c r="R148" s="341"/>
      <c r="S148" s="341" t="s">
        <v>254</v>
      </c>
      <c r="T148" s="341" t="s">
        <v>1273</v>
      </c>
      <c r="U148" s="341" t="s">
        <v>40</v>
      </c>
      <c r="V148" s="341" t="s">
        <v>983</v>
      </c>
      <c r="W148" s="341" t="s">
        <v>75</v>
      </c>
      <c r="X148" s="341">
        <f t="shared" si="2"/>
      </c>
    </row>
    <row r="149" spans="1:24" ht="60" x14ac:dyDescent="0.2">
      <c r="A149" s="224" t="s">
        <v>452</v>
      </c>
      <c r="B149" s="341" t="s">
        <v>1105</v>
      </c>
      <c r="C149" s="341">
        <v>0</v>
      </c>
      <c r="D149" s="341">
        <v>0</v>
      </c>
      <c r="E149" s="341">
        <v>0</v>
      </c>
      <c r="F149" s="341">
        <v>1</v>
      </c>
      <c r="G149" s="341">
        <v>0</v>
      </c>
      <c r="H149" s="341">
        <v>0</v>
      </c>
      <c r="I149" s="341">
        <v>0</v>
      </c>
      <c r="J149" s="341">
        <v>0</v>
      </c>
      <c r="K149" s="341"/>
      <c r="L149" s="341" t="s">
        <v>162</v>
      </c>
      <c r="M149" s="341" t="s">
        <v>983</v>
      </c>
      <c r="N149" s="341" t="s">
        <v>975</v>
      </c>
      <c r="O149" s="341" t="s">
        <v>975</v>
      </c>
      <c r="P149" s="341" t="s">
        <v>459</v>
      </c>
      <c r="Q149" s="341" t="s">
        <v>975</v>
      </c>
      <c r="R149" s="341"/>
      <c r="S149" s="341" t="s">
        <v>460</v>
      </c>
      <c r="T149" s="341" t="s">
        <v>1319</v>
      </c>
      <c r="U149" s="341" t="s">
        <v>40</v>
      </c>
      <c r="V149" s="341" t="s">
        <v>983</v>
      </c>
      <c r="W149" s="341" t="s">
        <v>75</v>
      </c>
      <c r="X149" s="341">
        <f t="shared" si="2"/>
      </c>
    </row>
    <row r="150" spans="1:24" ht="240" x14ac:dyDescent="0.2">
      <c r="A150" s="341" t="s">
        <v>456</v>
      </c>
      <c r="B150" s="341" t="s">
        <v>1320</v>
      </c>
      <c r="C150" s="341">
        <v>0</v>
      </c>
      <c r="D150" s="341">
        <v>0</v>
      </c>
      <c r="E150" s="341">
        <v>0</v>
      </c>
      <c r="F150" s="341">
        <v>1</v>
      </c>
      <c r="G150" s="341">
        <v>0</v>
      </c>
      <c r="H150" s="341">
        <v>0</v>
      </c>
      <c r="I150" s="341">
        <v>0</v>
      </c>
      <c r="J150" s="341">
        <v>0</v>
      </c>
      <c r="K150" s="341"/>
      <c r="L150" s="341" t="s">
        <v>162</v>
      </c>
      <c r="M150" s="341" t="s">
        <v>983</v>
      </c>
      <c r="N150" s="341" t="s">
        <v>975</v>
      </c>
      <c r="O150" s="341" t="s">
        <v>461</v>
      </c>
      <c r="P150" s="341" t="s">
        <v>461</v>
      </c>
      <c r="Q150" s="341" t="s">
        <v>461</v>
      </c>
      <c r="R150" s="341"/>
      <c r="S150" s="341" t="s">
        <v>1309</v>
      </c>
      <c r="T150" s="341" t="s">
        <v>1310</v>
      </c>
      <c r="U150" s="341" t="s">
        <v>148</v>
      </c>
      <c r="V150" s="341" t="s">
        <v>983</v>
      </c>
      <c r="W150" s="341" t="s">
        <v>75</v>
      </c>
      <c r="X150" s="341">
        <f t="shared" si="2"/>
      </c>
    </row>
    <row r="151" spans="1:24" ht="183" customHeight="1" x14ac:dyDescent="0.2">
      <c r="A151" s="353" t="s">
        <v>462</v>
      </c>
      <c r="B151" s="353" t="s">
        <v>1007</v>
      </c>
      <c r="C151" s="341">
        <v>0</v>
      </c>
      <c r="D151" s="341">
        <v>0</v>
      </c>
      <c r="E151" s="341">
        <v>0</v>
      </c>
      <c r="F151" s="341">
        <v>1</v>
      </c>
      <c r="G151" s="341">
        <v>0</v>
      </c>
      <c r="H151" s="341">
        <v>0</v>
      </c>
      <c r="I151" s="341">
        <v>0</v>
      </c>
      <c r="J151" s="341">
        <v>1</v>
      </c>
      <c r="K151" s="341"/>
      <c r="L151" s="341" t="s">
        <v>162</v>
      </c>
      <c r="M151" s="341" t="s">
        <v>983</v>
      </c>
      <c r="N151" s="341" t="s">
        <v>1245</v>
      </c>
      <c r="O151" s="341" t="s">
        <v>975</v>
      </c>
      <c r="P151" s="341" t="s">
        <v>463</v>
      </c>
      <c r="Q151" s="341" t="s">
        <v>464</v>
      </c>
      <c r="R151" s="341"/>
      <c r="S151" s="341" t="s">
        <v>1443</v>
      </c>
      <c r="T151" s="341" t="s">
        <v>1444</v>
      </c>
      <c r="U151" s="341" t="s">
        <v>40</v>
      </c>
      <c r="V151" s="341" t="s">
        <v>983</v>
      </c>
      <c r="W151" s="341" t="s">
        <v>46</v>
      </c>
      <c r="X151" s="341">
        <f t="shared" si="2"/>
      </c>
    </row>
    <row r="152" spans="1:24" ht="181.5" customHeight="1" x14ac:dyDescent="0.2">
      <c r="A152" s="353" t="s">
        <v>465</v>
      </c>
      <c r="B152" s="353" t="s">
        <v>1008</v>
      </c>
      <c r="C152" s="341">
        <v>0</v>
      </c>
      <c r="D152" s="341">
        <v>0</v>
      </c>
      <c r="E152" s="341">
        <v>0</v>
      </c>
      <c r="F152" s="341">
        <v>1</v>
      </c>
      <c r="G152" s="341">
        <v>0</v>
      </c>
      <c r="H152" s="341">
        <v>0</v>
      </c>
      <c r="I152" s="341">
        <v>0</v>
      </c>
      <c r="J152" s="341">
        <v>1</v>
      </c>
      <c r="K152" s="341"/>
      <c r="L152" s="341" t="s">
        <v>162</v>
      </c>
      <c r="M152" s="341" t="s">
        <v>983</v>
      </c>
      <c r="N152" s="341" t="s">
        <v>1245</v>
      </c>
      <c r="O152" s="341" t="s">
        <v>975</v>
      </c>
      <c r="P152" s="341" t="s">
        <v>471</v>
      </c>
      <c r="Q152" s="341" t="s">
        <v>472</v>
      </c>
      <c r="R152" s="341"/>
      <c r="S152" s="341" t="s">
        <v>473</v>
      </c>
      <c r="T152" s="341" t="s">
        <v>474</v>
      </c>
      <c r="U152" s="341" t="s">
        <v>40</v>
      </c>
      <c r="V152" s="341" t="s">
        <v>983</v>
      </c>
      <c r="W152" s="341" t="s">
        <v>46</v>
      </c>
      <c r="X152" s="341">
        <f t="shared" si="2"/>
      </c>
    </row>
    <row r="153" spans="1:24" ht="204.75" customHeight="1" x14ac:dyDescent="0.2">
      <c r="A153" s="353" t="s">
        <v>470</v>
      </c>
      <c r="B153" s="353" t="s">
        <v>1106</v>
      </c>
      <c r="C153" s="341">
        <v>0</v>
      </c>
      <c r="D153" s="341">
        <v>0</v>
      </c>
      <c r="E153" s="341">
        <v>0</v>
      </c>
      <c r="F153" s="341">
        <v>1</v>
      </c>
      <c r="G153" s="341">
        <v>0</v>
      </c>
      <c r="H153" s="341">
        <v>0</v>
      </c>
      <c r="I153" s="341">
        <v>0</v>
      </c>
      <c r="J153" s="341">
        <v>1</v>
      </c>
      <c r="K153" s="341"/>
      <c r="L153" s="341" t="s">
        <v>162</v>
      </c>
      <c r="M153" s="341" t="s">
        <v>983</v>
      </c>
      <c r="N153" s="341" t="s">
        <v>1245</v>
      </c>
      <c r="O153" s="341" t="s">
        <v>975</v>
      </c>
      <c r="P153" s="341" t="s">
        <v>1107</v>
      </c>
      <c r="Q153" s="341" t="s">
        <v>476</v>
      </c>
      <c r="R153" s="341"/>
      <c r="S153" s="341" t="s">
        <v>1321</v>
      </c>
      <c r="T153" s="341" t="s">
        <v>477</v>
      </c>
      <c r="U153" s="341" t="s">
        <v>40</v>
      </c>
      <c r="V153" s="341" t="s">
        <v>983</v>
      </c>
      <c r="W153" s="341" t="s">
        <v>46</v>
      </c>
      <c r="X153" s="341">
        <f t="shared" si="2"/>
      </c>
    </row>
    <row r="154" spans="1:24" ht="203.25" customHeight="1" x14ac:dyDescent="0.2">
      <c r="A154" s="353" t="s">
        <v>475</v>
      </c>
      <c r="B154" s="353" t="s">
        <v>1009</v>
      </c>
      <c r="C154" s="341">
        <v>0</v>
      </c>
      <c r="D154" s="341">
        <v>0</v>
      </c>
      <c r="E154" s="341">
        <v>0</v>
      </c>
      <c r="F154" s="341">
        <v>1</v>
      </c>
      <c r="G154" s="341">
        <v>0</v>
      </c>
      <c r="H154" s="341">
        <v>0</v>
      </c>
      <c r="I154" s="341">
        <v>0</v>
      </c>
      <c r="J154" s="341">
        <v>0</v>
      </c>
      <c r="K154" s="341"/>
      <c r="L154" s="341" t="s">
        <v>162</v>
      </c>
      <c r="M154" s="341" t="s">
        <v>983</v>
      </c>
      <c r="N154" s="341" t="s">
        <v>1245</v>
      </c>
      <c r="O154" s="341" t="s">
        <v>975</v>
      </c>
      <c r="P154" s="341" t="s">
        <v>1108</v>
      </c>
      <c r="Q154" s="341" t="s">
        <v>481</v>
      </c>
      <c r="R154" s="341" t="s">
        <v>1526</v>
      </c>
      <c r="S154" s="341" t="s">
        <v>1321</v>
      </c>
      <c r="T154" s="341" t="s">
        <v>1322</v>
      </c>
      <c r="U154" s="341" t="s">
        <v>40</v>
      </c>
      <c r="V154" s="341" t="s">
        <v>983</v>
      </c>
      <c r="W154" s="341" t="s">
        <v>46</v>
      </c>
      <c r="X154" s="341">
        <f t="shared" si="2"/>
      </c>
    </row>
    <row r="155" spans="1:24" ht="180" x14ac:dyDescent="0.2">
      <c r="A155" s="353" t="s">
        <v>478</v>
      </c>
      <c r="B155" s="353" t="s">
        <v>1010</v>
      </c>
      <c r="C155" s="341">
        <v>0</v>
      </c>
      <c r="D155" s="341">
        <v>0</v>
      </c>
      <c r="E155" s="341">
        <v>0</v>
      </c>
      <c r="F155" s="341">
        <v>1</v>
      </c>
      <c r="G155" s="341">
        <v>0</v>
      </c>
      <c r="H155" s="341">
        <v>0</v>
      </c>
      <c r="I155" s="341">
        <v>0</v>
      </c>
      <c r="J155" s="341">
        <v>0</v>
      </c>
      <c r="K155" s="341"/>
      <c r="L155" s="341" t="s">
        <v>162</v>
      </c>
      <c r="M155" s="341" t="s">
        <v>983</v>
      </c>
      <c r="N155" s="341" t="s">
        <v>1245</v>
      </c>
      <c r="O155" s="341" t="s">
        <v>975</v>
      </c>
      <c r="P155" s="341" t="s">
        <v>500</v>
      </c>
      <c r="Q155" s="341" t="s">
        <v>501</v>
      </c>
      <c r="R155" s="341"/>
      <c r="S155" s="341" t="s">
        <v>502</v>
      </c>
      <c r="T155" s="341" t="s">
        <v>1323</v>
      </c>
      <c r="U155" s="341" t="s">
        <v>40</v>
      </c>
      <c r="V155" s="341" t="s">
        <v>983</v>
      </c>
      <c r="W155" s="341" t="s">
        <v>46</v>
      </c>
      <c r="X155" s="341">
        <f t="shared" si="2"/>
      </c>
    </row>
    <row r="156" spans="1:24" ht="165.75" customHeight="1" x14ac:dyDescent="0.2">
      <c r="A156" s="341" t="s">
        <v>480</v>
      </c>
      <c r="B156" s="341" t="s">
        <v>1109</v>
      </c>
      <c r="C156" s="341">
        <v>0</v>
      </c>
      <c r="D156" s="341">
        <v>0</v>
      </c>
      <c r="E156" s="341">
        <v>0</v>
      </c>
      <c r="F156" s="341">
        <v>1</v>
      </c>
      <c r="G156" s="341">
        <v>0</v>
      </c>
      <c r="H156" s="341">
        <v>0</v>
      </c>
      <c r="I156" s="341">
        <v>0</v>
      </c>
      <c r="J156" s="341">
        <v>1</v>
      </c>
      <c r="K156" s="341"/>
      <c r="L156" s="341" t="s">
        <v>162</v>
      </c>
      <c r="M156" s="341" t="s">
        <v>983</v>
      </c>
      <c r="N156" s="341" t="s">
        <v>1245</v>
      </c>
      <c r="O156" s="341" t="s">
        <v>975</v>
      </c>
      <c r="P156" s="341" t="s">
        <v>466</v>
      </c>
      <c r="Q156" s="341" t="s">
        <v>467</v>
      </c>
      <c r="R156" s="341"/>
      <c r="S156" s="341" t="s">
        <v>468</v>
      </c>
      <c r="T156" s="341" t="s">
        <v>469</v>
      </c>
      <c r="U156" s="341" t="s">
        <v>40</v>
      </c>
      <c r="V156" s="341" t="s">
        <v>983</v>
      </c>
      <c r="W156" s="341" t="s">
        <v>75</v>
      </c>
      <c r="X156" s="341">
        <f t="shared" si="2"/>
      </c>
    </row>
    <row r="157" spans="1:24" ht="216" customHeight="1" x14ac:dyDescent="0.2">
      <c r="A157" s="341" t="s">
        <v>482</v>
      </c>
      <c r="B157" s="341" t="s">
        <v>1110</v>
      </c>
      <c r="C157" s="341">
        <v>0</v>
      </c>
      <c r="D157" s="341">
        <v>0</v>
      </c>
      <c r="E157" s="341">
        <v>0</v>
      </c>
      <c r="F157" s="341">
        <v>1</v>
      </c>
      <c r="G157" s="341">
        <v>0</v>
      </c>
      <c r="H157" s="341">
        <v>0</v>
      </c>
      <c r="I157" s="341">
        <v>0</v>
      </c>
      <c r="J157" s="341">
        <v>1</v>
      </c>
      <c r="K157" s="341"/>
      <c r="L157" s="341" t="s">
        <v>162</v>
      </c>
      <c r="M157" s="341" t="s">
        <v>983</v>
      </c>
      <c r="N157" s="341" t="s">
        <v>1245</v>
      </c>
      <c r="O157" s="341" t="s">
        <v>975</v>
      </c>
      <c r="P157" s="341" t="s">
        <v>1111</v>
      </c>
      <c r="Q157" s="341" t="s">
        <v>479</v>
      </c>
      <c r="R157" s="341"/>
      <c r="S157" s="341" t="s">
        <v>1324</v>
      </c>
      <c r="T157" s="341" t="s">
        <v>1112</v>
      </c>
      <c r="U157" s="341" t="s">
        <v>40</v>
      </c>
      <c r="V157" s="341" t="s">
        <v>983</v>
      </c>
      <c r="W157" s="341" t="s">
        <v>75</v>
      </c>
      <c r="X157" s="341">
        <f t="shared" si="2"/>
      </c>
    </row>
    <row r="158" spans="1:24" ht="210.75" customHeight="1" x14ac:dyDescent="0.2">
      <c r="A158" s="341" t="s">
        <v>485</v>
      </c>
      <c r="B158" s="341" t="s">
        <v>483</v>
      </c>
      <c r="C158" s="341">
        <v>0</v>
      </c>
      <c r="D158" s="341">
        <v>0</v>
      </c>
      <c r="E158" s="341">
        <v>0</v>
      </c>
      <c r="F158" s="341">
        <v>1</v>
      </c>
      <c r="G158" s="341">
        <v>0</v>
      </c>
      <c r="H158" s="341">
        <v>0</v>
      </c>
      <c r="I158" s="341">
        <v>0</v>
      </c>
      <c r="J158" s="341">
        <v>0</v>
      </c>
      <c r="K158" s="341"/>
      <c r="L158" s="341" t="s">
        <v>162</v>
      </c>
      <c r="M158" s="341" t="s">
        <v>983</v>
      </c>
      <c r="N158" s="341" t="s">
        <v>1245</v>
      </c>
      <c r="O158" s="341" t="s">
        <v>975</v>
      </c>
      <c r="P158" s="341" t="s">
        <v>1113</v>
      </c>
      <c r="Q158" s="341" t="s">
        <v>484</v>
      </c>
      <c r="R158" s="341" t="s">
        <v>1526</v>
      </c>
      <c r="S158" s="341" t="s">
        <v>1324</v>
      </c>
      <c r="T158" s="341" t="s">
        <v>1325</v>
      </c>
      <c r="U158" s="341" t="s">
        <v>40</v>
      </c>
      <c r="V158" s="341" t="s">
        <v>983</v>
      </c>
      <c r="W158" s="341" t="s">
        <v>75</v>
      </c>
      <c r="X158" s="341">
        <f t="shared" si="2"/>
      </c>
    </row>
    <row r="159" spans="1:24" ht="175.5" customHeight="1" x14ac:dyDescent="0.2">
      <c r="A159" s="341" t="s">
        <v>490</v>
      </c>
      <c r="B159" s="341" t="s">
        <v>486</v>
      </c>
      <c r="C159" s="341">
        <v>0</v>
      </c>
      <c r="D159" s="341">
        <v>0</v>
      </c>
      <c r="E159" s="341">
        <v>0</v>
      </c>
      <c r="F159" s="341">
        <v>1</v>
      </c>
      <c r="G159" s="341">
        <v>0</v>
      </c>
      <c r="H159" s="341">
        <v>0</v>
      </c>
      <c r="I159" s="341">
        <v>0</v>
      </c>
      <c r="J159" s="341">
        <v>0</v>
      </c>
      <c r="K159" s="341"/>
      <c r="L159" s="341" t="s">
        <v>162</v>
      </c>
      <c r="M159" s="341" t="s">
        <v>983</v>
      </c>
      <c r="N159" s="341" t="s">
        <v>1245</v>
      </c>
      <c r="O159" s="341" t="s">
        <v>975</v>
      </c>
      <c r="P159" s="341" t="s">
        <v>487</v>
      </c>
      <c r="Q159" s="341" t="s">
        <v>488</v>
      </c>
      <c r="R159" s="341"/>
      <c r="S159" s="341" t="s">
        <v>1326</v>
      </c>
      <c r="T159" s="341" t="s">
        <v>489</v>
      </c>
      <c r="U159" s="341" t="s">
        <v>40</v>
      </c>
      <c r="V159" s="341" t="s">
        <v>983</v>
      </c>
      <c r="W159" s="341" t="s">
        <v>75</v>
      </c>
      <c r="X159" s="341">
        <f t="shared" si="2"/>
      </c>
    </row>
    <row r="160" spans="1:24" ht="192.75" customHeight="1" x14ac:dyDescent="0.2">
      <c r="A160" s="341" t="s">
        <v>495</v>
      </c>
      <c r="B160" s="341" t="s">
        <v>496</v>
      </c>
      <c r="C160" s="341">
        <v>0</v>
      </c>
      <c r="D160" s="341">
        <v>0</v>
      </c>
      <c r="E160" s="341">
        <v>0</v>
      </c>
      <c r="F160" s="341">
        <v>1</v>
      </c>
      <c r="G160" s="341">
        <v>0</v>
      </c>
      <c r="H160" s="341">
        <v>0</v>
      </c>
      <c r="I160" s="341">
        <v>0</v>
      </c>
      <c r="J160" s="341">
        <v>0</v>
      </c>
      <c r="K160" s="341"/>
      <c r="L160" s="341" t="s">
        <v>1004</v>
      </c>
      <c r="M160" s="341" t="s">
        <v>983</v>
      </c>
      <c r="N160" s="341" t="s">
        <v>1245</v>
      </c>
      <c r="O160" s="341" t="s">
        <v>497</v>
      </c>
      <c r="P160" s="341" t="s">
        <v>497</v>
      </c>
      <c r="Q160" s="341" t="s">
        <v>497</v>
      </c>
      <c r="R160" s="341"/>
      <c r="S160" s="341" t="s">
        <v>1327</v>
      </c>
      <c r="T160" s="341" t="s">
        <v>498</v>
      </c>
      <c r="U160" s="341" t="s">
        <v>1004</v>
      </c>
      <c r="V160" s="341" t="s">
        <v>983</v>
      </c>
      <c r="W160" s="341"/>
      <c r="X160" s="341"/>
    </row>
    <row r="161" spans="1:24" ht="180" x14ac:dyDescent="0.2">
      <c r="A161" s="341" t="s">
        <v>499</v>
      </c>
      <c r="B161" s="341" t="s">
        <v>491</v>
      </c>
      <c r="C161" s="341">
        <v>0</v>
      </c>
      <c r="D161" s="341">
        <v>0</v>
      </c>
      <c r="E161" s="341">
        <v>0</v>
      </c>
      <c r="F161" s="341">
        <v>1</v>
      </c>
      <c r="G161" s="341">
        <v>0</v>
      </c>
      <c r="H161" s="341">
        <v>0</v>
      </c>
      <c r="I161" s="341">
        <v>0</v>
      </c>
      <c r="J161" s="341">
        <v>1</v>
      </c>
      <c r="K161" s="341"/>
      <c r="L161" s="341" t="s">
        <v>162</v>
      </c>
      <c r="M161" s="341" t="s">
        <v>983</v>
      </c>
      <c r="N161" s="341" t="s">
        <v>1245</v>
      </c>
      <c r="O161" s="341" t="s">
        <v>975</v>
      </c>
      <c r="P161" s="341" t="s">
        <v>492</v>
      </c>
      <c r="Q161" s="341" t="s">
        <v>493</v>
      </c>
      <c r="R161" s="341"/>
      <c r="S161" s="341" t="s">
        <v>1328</v>
      </c>
      <c r="T161" s="341" t="s">
        <v>494</v>
      </c>
      <c r="U161" s="341" t="s">
        <v>40</v>
      </c>
      <c r="V161" s="341" t="s">
        <v>983</v>
      </c>
      <c r="W161" s="341" t="s">
        <v>41</v>
      </c>
      <c r="X161" s="341">
        <f t="shared" si="2"/>
      </c>
    </row>
    <row r="162" spans="1:24" ht="165" x14ac:dyDescent="0.2">
      <c r="A162" s="353" t="s">
        <v>503</v>
      </c>
      <c r="B162" s="353" t="s">
        <v>1011</v>
      </c>
      <c r="C162" s="341">
        <v>0</v>
      </c>
      <c r="D162" s="341">
        <v>1</v>
      </c>
      <c r="E162" s="341">
        <v>0</v>
      </c>
      <c r="F162" s="341">
        <v>0</v>
      </c>
      <c r="G162" s="341">
        <v>0</v>
      </c>
      <c r="H162" s="341">
        <v>0</v>
      </c>
      <c r="I162" s="341">
        <v>0</v>
      </c>
      <c r="J162" s="341">
        <v>0</v>
      </c>
      <c r="K162" s="341"/>
      <c r="L162" s="341" t="s">
        <v>131</v>
      </c>
      <c r="M162" s="341" t="s">
        <v>983</v>
      </c>
      <c r="N162" s="341" t="s">
        <v>975</v>
      </c>
      <c r="O162" s="341" t="s">
        <v>975</v>
      </c>
      <c r="P162" s="341" t="s">
        <v>975</v>
      </c>
      <c r="Q162" s="341" t="s">
        <v>975</v>
      </c>
      <c r="R162" s="341"/>
      <c r="S162" s="341" t="s">
        <v>1329</v>
      </c>
      <c r="T162" s="341" t="s">
        <v>1330</v>
      </c>
      <c r="U162" s="341" t="s">
        <v>40</v>
      </c>
      <c r="V162" s="341" t="s">
        <v>983</v>
      </c>
      <c r="W162" s="341" t="s">
        <v>46</v>
      </c>
      <c r="X162" s="341">
        <f t="shared" si="2"/>
      </c>
    </row>
    <row r="163" spans="1:24" ht="120" x14ac:dyDescent="0.2">
      <c r="A163" s="353" t="s">
        <v>504</v>
      </c>
      <c r="B163" s="353" t="s">
        <v>1012</v>
      </c>
      <c r="C163" s="341">
        <v>0</v>
      </c>
      <c r="D163" s="341">
        <v>1</v>
      </c>
      <c r="E163" s="341">
        <v>0</v>
      </c>
      <c r="F163" s="341">
        <v>0</v>
      </c>
      <c r="G163" s="341">
        <v>0</v>
      </c>
      <c r="H163" s="341">
        <v>0</v>
      </c>
      <c r="I163" s="341">
        <v>0</v>
      </c>
      <c r="J163" s="341">
        <v>0</v>
      </c>
      <c r="K163" s="341"/>
      <c r="L163" s="341" t="s">
        <v>131</v>
      </c>
      <c r="M163" s="341" t="s">
        <v>983</v>
      </c>
      <c r="N163" s="341" t="s">
        <v>975</v>
      </c>
      <c r="O163" s="341" t="s">
        <v>975</v>
      </c>
      <c r="P163" s="341" t="s">
        <v>518</v>
      </c>
      <c r="Q163" s="341" t="s">
        <v>519</v>
      </c>
      <c r="R163" s="341"/>
      <c r="S163" s="341" t="s">
        <v>1331</v>
      </c>
      <c r="T163" s="341" t="s">
        <v>1332</v>
      </c>
      <c r="U163" s="341" t="s">
        <v>40</v>
      </c>
      <c r="V163" s="341" t="s">
        <v>983</v>
      </c>
      <c r="W163" s="341" t="s">
        <v>46</v>
      </c>
      <c r="X163" s="341">
        <f t="shared" si="2"/>
      </c>
    </row>
    <row r="164" spans="1:24" ht="120" x14ac:dyDescent="0.2">
      <c r="A164" s="353" t="s">
        <v>506</v>
      </c>
      <c r="B164" s="353" t="s">
        <v>1027</v>
      </c>
      <c r="C164" s="341">
        <v>0</v>
      </c>
      <c r="D164" s="341">
        <v>1</v>
      </c>
      <c r="E164" s="341">
        <v>0</v>
      </c>
      <c r="F164" s="341">
        <v>0</v>
      </c>
      <c r="G164" s="341">
        <v>0</v>
      </c>
      <c r="H164" s="341">
        <v>0</v>
      </c>
      <c r="I164" s="341">
        <v>0</v>
      </c>
      <c r="J164" s="341">
        <v>0</v>
      </c>
      <c r="K164" s="341"/>
      <c r="L164" s="341" t="s">
        <v>131</v>
      </c>
      <c r="M164" s="341" t="s">
        <v>983</v>
      </c>
      <c r="N164" s="341" t="s">
        <v>975</v>
      </c>
      <c r="O164" s="341" t="s">
        <v>521</v>
      </c>
      <c r="P164" s="341" t="s">
        <v>521</v>
      </c>
      <c r="Q164" s="341" t="s">
        <v>521</v>
      </c>
      <c r="R164" s="341"/>
      <c r="S164" s="341" t="s">
        <v>1333</v>
      </c>
      <c r="T164" s="341" t="s">
        <v>1334</v>
      </c>
      <c r="U164" s="341" t="s">
        <v>40</v>
      </c>
      <c r="V164" s="341" t="s">
        <v>983</v>
      </c>
      <c r="W164" s="341" t="s">
        <v>46</v>
      </c>
      <c r="X164" s="341">
        <f t="shared" si="2"/>
      </c>
    </row>
    <row r="165" spans="1:24" ht="180" x14ac:dyDescent="0.2">
      <c r="A165" s="341" t="s">
        <v>510</v>
      </c>
      <c r="B165" s="341" t="s">
        <v>505</v>
      </c>
      <c r="C165" s="341">
        <v>0</v>
      </c>
      <c r="D165" s="341">
        <v>1</v>
      </c>
      <c r="E165" s="341">
        <v>0</v>
      </c>
      <c r="F165" s="341">
        <v>0</v>
      </c>
      <c r="G165" s="341">
        <v>0</v>
      </c>
      <c r="H165" s="341">
        <v>0</v>
      </c>
      <c r="I165" s="341">
        <v>0</v>
      </c>
      <c r="J165" s="341">
        <v>0</v>
      </c>
      <c r="K165" s="341"/>
      <c r="L165" s="341" t="s">
        <v>131</v>
      </c>
      <c r="M165" s="341" t="s">
        <v>983</v>
      </c>
      <c r="N165" s="341" t="s">
        <v>975</v>
      </c>
      <c r="O165" s="341" t="s">
        <v>975</v>
      </c>
      <c r="P165" s="341" t="s">
        <v>975</v>
      </c>
      <c r="Q165" s="341" t="s">
        <v>975</v>
      </c>
      <c r="R165" s="341"/>
      <c r="S165" s="341" t="s">
        <v>1295</v>
      </c>
      <c r="T165" s="341" t="s">
        <v>1296</v>
      </c>
      <c r="U165" s="341" t="s">
        <v>40</v>
      </c>
      <c r="V165" s="341" t="s">
        <v>983</v>
      </c>
      <c r="W165" s="341" t="s">
        <v>75</v>
      </c>
      <c r="X165" s="341">
        <f t="shared" si="2"/>
      </c>
    </row>
    <row r="166" spans="1:24" ht="195" x14ac:dyDescent="0.2">
      <c r="A166" s="341" t="s">
        <v>514</v>
      </c>
      <c r="B166" s="341" t="s">
        <v>511</v>
      </c>
      <c r="C166" s="341">
        <v>0</v>
      </c>
      <c r="D166" s="341">
        <v>1</v>
      </c>
      <c r="E166" s="341">
        <v>0</v>
      </c>
      <c r="F166" s="341">
        <v>0</v>
      </c>
      <c r="G166" s="341">
        <v>0</v>
      </c>
      <c r="H166" s="341">
        <v>0</v>
      </c>
      <c r="I166" s="341">
        <v>0</v>
      </c>
      <c r="J166" s="341">
        <v>1</v>
      </c>
      <c r="K166" s="341"/>
      <c r="L166" s="341" t="s">
        <v>131</v>
      </c>
      <c r="M166" s="341" t="s">
        <v>983</v>
      </c>
      <c r="N166" s="341" t="s">
        <v>975</v>
      </c>
      <c r="O166" s="341" t="s">
        <v>975</v>
      </c>
      <c r="P166" s="341" t="s">
        <v>512</v>
      </c>
      <c r="Q166" s="341" t="s">
        <v>513</v>
      </c>
      <c r="R166" s="341"/>
      <c r="S166" s="341" t="s">
        <v>1335</v>
      </c>
      <c r="T166" s="341" t="s">
        <v>1336</v>
      </c>
      <c r="U166" s="341" t="s">
        <v>40</v>
      </c>
      <c r="V166" s="341" t="s">
        <v>983</v>
      </c>
      <c r="W166" s="341" t="s">
        <v>75</v>
      </c>
      <c r="X166" s="341">
        <f t="shared" si="2"/>
      </c>
    </row>
    <row r="167" spans="1:24" ht="196.5" customHeight="1" x14ac:dyDescent="0.2">
      <c r="A167" s="341" t="s">
        <v>517</v>
      </c>
      <c r="B167" s="341" t="s">
        <v>523</v>
      </c>
      <c r="C167" s="341">
        <v>0</v>
      </c>
      <c r="D167" s="341">
        <v>1</v>
      </c>
      <c r="E167" s="341">
        <v>0</v>
      </c>
      <c r="F167" s="341">
        <v>0</v>
      </c>
      <c r="G167" s="341">
        <v>0</v>
      </c>
      <c r="H167" s="341">
        <v>0</v>
      </c>
      <c r="I167" s="341">
        <v>0</v>
      </c>
      <c r="J167" s="341">
        <v>0</v>
      </c>
      <c r="K167" s="341"/>
      <c r="L167" s="341" t="s">
        <v>131</v>
      </c>
      <c r="M167" s="341" t="s">
        <v>983</v>
      </c>
      <c r="N167" s="341" t="s">
        <v>975</v>
      </c>
      <c r="O167" s="341" t="s">
        <v>975</v>
      </c>
      <c r="P167" s="341" t="s">
        <v>524</v>
      </c>
      <c r="Q167" s="341" t="s">
        <v>525</v>
      </c>
      <c r="R167" s="341"/>
      <c r="S167" s="341" t="s">
        <v>1337</v>
      </c>
      <c r="T167" s="341" t="s">
        <v>1338</v>
      </c>
      <c r="U167" s="341" t="s">
        <v>40</v>
      </c>
      <c r="V167" s="341" t="s">
        <v>983</v>
      </c>
      <c r="W167" s="341" t="s">
        <v>75</v>
      </c>
      <c r="X167" s="341">
        <f t="shared" si="2"/>
      </c>
    </row>
    <row r="168" spans="1:24" ht="150" x14ac:dyDescent="0.2">
      <c r="A168" s="341" t="s">
        <v>520</v>
      </c>
      <c r="B168" s="341" t="s">
        <v>527</v>
      </c>
      <c r="C168" s="341">
        <v>0</v>
      </c>
      <c r="D168" s="341">
        <v>1</v>
      </c>
      <c r="E168" s="341">
        <v>0</v>
      </c>
      <c r="F168" s="341">
        <v>0</v>
      </c>
      <c r="G168" s="341">
        <v>0</v>
      </c>
      <c r="H168" s="341">
        <v>0</v>
      </c>
      <c r="I168" s="341">
        <v>0</v>
      </c>
      <c r="J168" s="341">
        <v>0</v>
      </c>
      <c r="K168" s="341"/>
      <c r="L168" s="341" t="s">
        <v>131</v>
      </c>
      <c r="M168" s="341" t="s">
        <v>983</v>
      </c>
      <c r="N168" s="341" t="s">
        <v>975</v>
      </c>
      <c r="O168" s="341" t="s">
        <v>975</v>
      </c>
      <c r="P168" s="341" t="s">
        <v>528</v>
      </c>
      <c r="Q168" s="341" t="s">
        <v>529</v>
      </c>
      <c r="R168" s="341"/>
      <c r="S168" s="341" t="s">
        <v>530</v>
      </c>
      <c r="T168" s="341" t="s">
        <v>1339</v>
      </c>
      <c r="U168" s="341" t="s">
        <v>40</v>
      </c>
      <c r="V168" s="341" t="s">
        <v>983</v>
      </c>
      <c r="W168" s="341" t="s">
        <v>75</v>
      </c>
      <c r="X168" s="341">
        <f t="shared" si="2"/>
      </c>
    </row>
    <row r="169" spans="1:24" ht="409.6" x14ac:dyDescent="0.2">
      <c r="A169" s="341" t="s">
        <v>522</v>
      </c>
      <c r="B169" s="341" t="s">
        <v>532</v>
      </c>
      <c r="C169" s="341">
        <v>0</v>
      </c>
      <c r="D169" s="341">
        <v>1</v>
      </c>
      <c r="E169" s="341">
        <v>0</v>
      </c>
      <c r="F169" s="341">
        <v>0</v>
      </c>
      <c r="G169" s="341">
        <v>0</v>
      </c>
      <c r="H169" s="341">
        <v>0</v>
      </c>
      <c r="I169" s="341">
        <v>0</v>
      </c>
      <c r="J169" s="341">
        <v>1</v>
      </c>
      <c r="K169" s="341"/>
      <c r="L169" s="341" t="s">
        <v>131</v>
      </c>
      <c r="M169" s="341" t="s">
        <v>983</v>
      </c>
      <c r="N169" s="341" t="s">
        <v>975</v>
      </c>
      <c r="O169" s="341" t="s">
        <v>975</v>
      </c>
      <c r="P169" s="341" t="s">
        <v>533</v>
      </c>
      <c r="Q169" s="341" t="s">
        <v>534</v>
      </c>
      <c r="R169" s="341"/>
      <c r="S169" s="341" t="s">
        <v>1340</v>
      </c>
      <c r="T169" s="341" t="s">
        <v>1341</v>
      </c>
      <c r="U169" s="341" t="s">
        <v>40</v>
      </c>
      <c r="V169" s="341" t="s">
        <v>983</v>
      </c>
      <c r="W169" s="341" t="s">
        <v>75</v>
      </c>
      <c r="X169" s="341">
        <f t="shared" si="2"/>
      </c>
    </row>
    <row r="170" spans="1:24" ht="180" x14ac:dyDescent="0.2">
      <c r="A170" s="341" t="s">
        <v>526</v>
      </c>
      <c r="B170" s="341" t="s">
        <v>507</v>
      </c>
      <c r="C170" s="341">
        <v>0</v>
      </c>
      <c r="D170" s="341">
        <v>1</v>
      </c>
      <c r="E170" s="341">
        <v>0</v>
      </c>
      <c r="F170" s="341">
        <v>0</v>
      </c>
      <c r="G170" s="341">
        <v>0</v>
      </c>
      <c r="H170" s="341">
        <v>0</v>
      </c>
      <c r="I170" s="341">
        <v>0</v>
      </c>
      <c r="J170" s="341">
        <v>1</v>
      </c>
      <c r="K170" s="341"/>
      <c r="L170" s="341" t="s">
        <v>131</v>
      </c>
      <c r="M170" s="341" t="s">
        <v>983</v>
      </c>
      <c r="N170" s="341" t="s">
        <v>975</v>
      </c>
      <c r="O170" s="341" t="s">
        <v>975</v>
      </c>
      <c r="P170" s="341" t="s">
        <v>508</v>
      </c>
      <c r="Q170" s="341" t="s">
        <v>509</v>
      </c>
      <c r="R170" s="341"/>
      <c r="S170" s="341" t="s">
        <v>1260</v>
      </c>
      <c r="T170" s="341" t="s">
        <v>1261</v>
      </c>
      <c r="U170" s="341" t="s">
        <v>40</v>
      </c>
      <c r="V170" s="341" t="s">
        <v>983</v>
      </c>
      <c r="W170" s="341" t="s">
        <v>41</v>
      </c>
      <c r="X170" s="341">
        <f t="shared" si="2"/>
      </c>
    </row>
    <row r="171" spans="1:24" ht="120" x14ac:dyDescent="0.2">
      <c r="A171" s="341" t="s">
        <v>531</v>
      </c>
      <c r="B171" s="341" t="s">
        <v>515</v>
      </c>
      <c r="C171" s="341">
        <v>0</v>
      </c>
      <c r="D171" s="341">
        <v>1</v>
      </c>
      <c r="E171" s="341">
        <v>0</v>
      </c>
      <c r="F171" s="341">
        <v>0</v>
      </c>
      <c r="G171" s="341">
        <v>0</v>
      </c>
      <c r="H171" s="341">
        <v>0</v>
      </c>
      <c r="I171" s="341">
        <v>0</v>
      </c>
      <c r="J171" s="341">
        <v>0</v>
      </c>
      <c r="K171" s="341"/>
      <c r="L171" s="341" t="s">
        <v>131</v>
      </c>
      <c r="M171" s="341" t="s">
        <v>983</v>
      </c>
      <c r="N171" s="341" t="s">
        <v>975</v>
      </c>
      <c r="O171" s="341" t="s">
        <v>975</v>
      </c>
      <c r="P171" s="341" t="s">
        <v>1882</v>
      </c>
      <c r="Q171" s="341" t="s">
        <v>516</v>
      </c>
      <c r="R171" s="341"/>
      <c r="S171" s="341" t="s">
        <v>1333</v>
      </c>
      <c r="T171" s="341" t="s">
        <v>1334</v>
      </c>
      <c r="U171" s="341" t="s">
        <v>40</v>
      </c>
      <c r="V171" s="341" t="s">
        <v>983</v>
      </c>
      <c r="W171" s="341" t="s">
        <v>41</v>
      </c>
      <c r="X171" s="341">
        <f t="shared" si="2"/>
      </c>
    </row>
    <row r="172" spans="1:24" ht="240" customHeight="1" x14ac:dyDescent="0.2">
      <c r="A172" s="341" t="s">
        <v>535</v>
      </c>
      <c r="B172" s="341" t="s">
        <v>536</v>
      </c>
      <c r="C172" s="341">
        <v>0</v>
      </c>
      <c r="D172" s="341">
        <v>1</v>
      </c>
      <c r="E172" s="341">
        <v>0</v>
      </c>
      <c r="F172" s="341">
        <v>0</v>
      </c>
      <c r="G172" s="341">
        <v>0</v>
      </c>
      <c r="H172" s="341">
        <v>0</v>
      </c>
      <c r="I172" s="341">
        <v>0</v>
      </c>
      <c r="J172" s="341">
        <v>1</v>
      </c>
      <c r="K172" s="341"/>
      <c r="L172" s="341" t="s">
        <v>131</v>
      </c>
      <c r="M172" s="341" t="s">
        <v>983</v>
      </c>
      <c r="N172" s="341" t="s">
        <v>975</v>
      </c>
      <c r="O172" s="341" t="s">
        <v>975</v>
      </c>
      <c r="P172" s="341" t="s">
        <v>537</v>
      </c>
      <c r="Q172" s="341" t="s">
        <v>538</v>
      </c>
      <c r="R172" s="341"/>
      <c r="S172" s="341" t="s">
        <v>1883</v>
      </c>
      <c r="T172" s="341" t="s">
        <v>539</v>
      </c>
      <c r="U172" s="341" t="s">
        <v>40</v>
      </c>
      <c r="V172" s="341" t="s">
        <v>983</v>
      </c>
      <c r="W172" s="341" t="s">
        <v>41</v>
      </c>
      <c r="X172" s="341">
        <f t="shared" si="2"/>
      </c>
    </row>
    <row r="173" spans="1:24" ht="243" customHeight="1" x14ac:dyDescent="0.2">
      <c r="A173" s="341" t="s">
        <v>540</v>
      </c>
      <c r="B173" s="341" t="s">
        <v>541</v>
      </c>
      <c r="C173" s="341">
        <v>0</v>
      </c>
      <c r="D173" s="341">
        <v>1</v>
      </c>
      <c r="E173" s="341">
        <v>0</v>
      </c>
      <c r="F173" s="341">
        <v>0</v>
      </c>
      <c r="G173" s="341">
        <v>0</v>
      </c>
      <c r="H173" s="341">
        <v>0</v>
      </c>
      <c r="I173" s="341">
        <v>0</v>
      </c>
      <c r="J173" s="341">
        <v>1</v>
      </c>
      <c r="K173" s="341"/>
      <c r="L173" s="341" t="s">
        <v>131</v>
      </c>
      <c r="M173" s="341" t="s">
        <v>983</v>
      </c>
      <c r="N173" s="341" t="s">
        <v>975</v>
      </c>
      <c r="O173" s="341" t="s">
        <v>975</v>
      </c>
      <c r="P173" s="341" t="s">
        <v>542</v>
      </c>
      <c r="Q173" s="341" t="s">
        <v>543</v>
      </c>
      <c r="R173" s="341"/>
      <c r="S173" s="341" t="s">
        <v>1883</v>
      </c>
      <c r="T173" s="341" t="s">
        <v>539</v>
      </c>
      <c r="U173" s="341" t="s">
        <v>40</v>
      </c>
      <c r="V173" s="341" t="s">
        <v>983</v>
      </c>
      <c r="W173" s="341" t="s">
        <v>41</v>
      </c>
      <c r="X173" s="341">
        <f t="shared" si="2"/>
      </c>
    </row>
    <row r="174" spans="1:24" ht="180" x14ac:dyDescent="0.2">
      <c r="A174" s="341" t="s">
        <v>544</v>
      </c>
      <c r="B174" s="341" t="s">
        <v>545</v>
      </c>
      <c r="C174" s="341">
        <v>0</v>
      </c>
      <c r="D174" s="341">
        <v>1</v>
      </c>
      <c r="E174" s="341">
        <v>0</v>
      </c>
      <c r="F174" s="341">
        <v>0</v>
      </c>
      <c r="G174" s="341">
        <v>0</v>
      </c>
      <c r="H174" s="341">
        <v>0</v>
      </c>
      <c r="I174" s="341">
        <v>0</v>
      </c>
      <c r="J174" s="341">
        <v>0</v>
      </c>
      <c r="K174" s="341"/>
      <c r="L174" s="341" t="s">
        <v>131</v>
      </c>
      <c r="M174" s="341" t="s">
        <v>983</v>
      </c>
      <c r="N174" s="341" t="s">
        <v>975</v>
      </c>
      <c r="O174" s="341" t="s">
        <v>975</v>
      </c>
      <c r="P174" s="341" t="s">
        <v>546</v>
      </c>
      <c r="Q174" s="341" t="s">
        <v>547</v>
      </c>
      <c r="R174" s="341"/>
      <c r="S174" s="341" t="s">
        <v>1884</v>
      </c>
      <c r="T174" s="341" t="s">
        <v>1342</v>
      </c>
      <c r="U174" s="341" t="s">
        <v>40</v>
      </c>
      <c r="V174" s="341" t="s">
        <v>983</v>
      </c>
      <c r="W174" s="341" t="s">
        <v>41</v>
      </c>
      <c r="X174" s="341">
        <f t="shared" si="2"/>
      </c>
    </row>
    <row r="175" spans="1:24" ht="206.25" customHeight="1" x14ac:dyDescent="0.2">
      <c r="A175" s="341" t="s">
        <v>548</v>
      </c>
      <c r="B175" s="341" t="s">
        <v>549</v>
      </c>
      <c r="C175" s="341">
        <v>0</v>
      </c>
      <c r="D175" s="341">
        <v>1</v>
      </c>
      <c r="E175" s="341">
        <v>0</v>
      </c>
      <c r="F175" s="341">
        <v>0</v>
      </c>
      <c r="G175" s="341">
        <v>0</v>
      </c>
      <c r="H175" s="341">
        <v>0</v>
      </c>
      <c r="I175" s="341">
        <v>0</v>
      </c>
      <c r="J175" s="341">
        <v>1</v>
      </c>
      <c r="K175" s="341"/>
      <c r="L175" s="341" t="s">
        <v>131</v>
      </c>
      <c r="M175" s="341" t="s">
        <v>983</v>
      </c>
      <c r="N175" s="341" t="s">
        <v>975</v>
      </c>
      <c r="O175" s="341" t="s">
        <v>975</v>
      </c>
      <c r="P175" s="341" t="s">
        <v>550</v>
      </c>
      <c r="Q175" s="341" t="s">
        <v>551</v>
      </c>
      <c r="R175" s="341"/>
      <c r="S175" s="341" t="s">
        <v>1395</v>
      </c>
      <c r="T175" s="341" t="s">
        <v>552</v>
      </c>
      <c r="U175" s="341" t="s">
        <v>40</v>
      </c>
      <c r="V175" s="341" t="s">
        <v>983</v>
      </c>
      <c r="W175" s="341" t="s">
        <v>41</v>
      </c>
      <c r="X175" s="341">
        <f t="shared" si="2"/>
      </c>
    </row>
    <row r="176" spans="1:24" ht="127.5" customHeight="1" x14ac:dyDescent="0.2">
      <c r="A176" s="341" t="s">
        <v>553</v>
      </c>
      <c r="B176" s="341" t="s">
        <v>554</v>
      </c>
      <c r="C176" s="341">
        <v>0</v>
      </c>
      <c r="D176" s="341">
        <v>1</v>
      </c>
      <c r="E176" s="341">
        <v>0</v>
      </c>
      <c r="F176" s="341">
        <v>0</v>
      </c>
      <c r="G176" s="341">
        <v>0</v>
      </c>
      <c r="H176" s="341">
        <v>0</v>
      </c>
      <c r="I176" s="341">
        <v>0</v>
      </c>
      <c r="J176" s="341">
        <v>1</v>
      </c>
      <c r="K176" s="341"/>
      <c r="L176" s="341" t="s">
        <v>131</v>
      </c>
      <c r="M176" s="341" t="s">
        <v>983</v>
      </c>
      <c r="N176" s="341" t="s">
        <v>975</v>
      </c>
      <c r="O176" s="341" t="s">
        <v>975</v>
      </c>
      <c r="P176" s="341" t="s">
        <v>555</v>
      </c>
      <c r="Q176" s="341" t="s">
        <v>556</v>
      </c>
      <c r="R176" s="349" t="s">
        <v>1565</v>
      </c>
      <c r="S176" s="341" t="s">
        <v>1343</v>
      </c>
      <c r="T176" s="341" t="s">
        <v>557</v>
      </c>
      <c r="U176" s="341" t="s">
        <v>40</v>
      </c>
      <c r="V176" s="341" t="s">
        <v>983</v>
      </c>
      <c r="W176" s="341" t="s">
        <v>41</v>
      </c>
      <c r="X176" s="341">
        <f t="shared" si="2"/>
      </c>
    </row>
    <row r="177" spans="1:24" ht="270" x14ac:dyDescent="0.2">
      <c r="A177" s="341" t="s">
        <v>558</v>
      </c>
      <c r="B177" s="341" t="s">
        <v>559</v>
      </c>
      <c r="C177" s="341">
        <v>0</v>
      </c>
      <c r="D177" s="341">
        <v>0</v>
      </c>
      <c r="E177" s="341">
        <v>0</v>
      </c>
      <c r="F177" s="341">
        <v>1</v>
      </c>
      <c r="G177" s="341">
        <v>0</v>
      </c>
      <c r="H177" s="341">
        <v>0</v>
      </c>
      <c r="I177" s="341">
        <v>0</v>
      </c>
      <c r="J177" s="341">
        <v>1</v>
      </c>
      <c r="K177" s="341"/>
      <c r="L177" s="341" t="s">
        <v>162</v>
      </c>
      <c r="M177" s="341" t="s">
        <v>983</v>
      </c>
      <c r="N177" s="341" t="s">
        <v>1245</v>
      </c>
      <c r="O177" s="341" t="s">
        <v>975</v>
      </c>
      <c r="P177" s="341" t="s">
        <v>560</v>
      </c>
      <c r="Q177" s="341" t="s">
        <v>561</v>
      </c>
      <c r="R177" s="341"/>
      <c r="S177" s="341" t="s">
        <v>1344</v>
      </c>
      <c r="T177" s="341" t="s">
        <v>1345</v>
      </c>
      <c r="U177" s="341" t="s">
        <v>40</v>
      </c>
      <c r="V177" s="341" t="s">
        <v>983</v>
      </c>
      <c r="W177" s="341" t="s">
        <v>75</v>
      </c>
      <c r="X177" s="341">
        <f t="shared" si="2"/>
      </c>
    </row>
    <row r="178" spans="1:24" ht="221.25" customHeight="1" x14ac:dyDescent="0.2">
      <c r="A178" s="341" t="s">
        <v>562</v>
      </c>
      <c r="B178" s="341" t="s">
        <v>563</v>
      </c>
      <c r="C178" s="341">
        <v>0</v>
      </c>
      <c r="D178" s="341">
        <v>0</v>
      </c>
      <c r="E178" s="341">
        <v>0</v>
      </c>
      <c r="F178" s="341">
        <v>1</v>
      </c>
      <c r="G178" s="341">
        <v>0</v>
      </c>
      <c r="H178" s="341">
        <v>0</v>
      </c>
      <c r="I178" s="341">
        <v>0</v>
      </c>
      <c r="J178" s="341">
        <v>1</v>
      </c>
      <c r="K178" s="341"/>
      <c r="L178" s="341" t="s">
        <v>162</v>
      </c>
      <c r="M178" s="341" t="s">
        <v>983</v>
      </c>
      <c r="N178" s="341" t="s">
        <v>1245</v>
      </c>
      <c r="O178" s="341" t="s">
        <v>975</v>
      </c>
      <c r="P178" s="341" t="s">
        <v>564</v>
      </c>
      <c r="Q178" s="341" t="s">
        <v>565</v>
      </c>
      <c r="R178" s="341"/>
      <c r="S178" s="341" t="s">
        <v>1346</v>
      </c>
      <c r="T178" s="341" t="s">
        <v>1345</v>
      </c>
      <c r="U178" s="341" t="s">
        <v>40</v>
      </c>
      <c r="V178" s="341" t="s">
        <v>983</v>
      </c>
      <c r="W178" s="341" t="s">
        <v>41</v>
      </c>
      <c r="X178" s="341">
        <f t="shared" si="2"/>
      </c>
    </row>
    <row r="179" spans="1:24" ht="165" x14ac:dyDescent="0.2">
      <c r="A179" s="341" t="s">
        <v>566</v>
      </c>
      <c r="B179" s="341" t="s">
        <v>567</v>
      </c>
      <c r="C179" s="341">
        <v>0</v>
      </c>
      <c r="D179" s="341">
        <v>0</v>
      </c>
      <c r="E179" s="341">
        <v>0</v>
      </c>
      <c r="F179" s="341">
        <v>1</v>
      </c>
      <c r="G179" s="341">
        <v>0</v>
      </c>
      <c r="H179" s="341">
        <v>0</v>
      </c>
      <c r="I179" s="341">
        <v>0</v>
      </c>
      <c r="J179" s="341">
        <v>1</v>
      </c>
      <c r="K179" s="341"/>
      <c r="L179" s="341" t="s">
        <v>162</v>
      </c>
      <c r="M179" s="341" t="s">
        <v>983</v>
      </c>
      <c r="N179" s="341" t="s">
        <v>1245</v>
      </c>
      <c r="O179" s="341" t="s">
        <v>975</v>
      </c>
      <c r="P179" s="341" t="s">
        <v>568</v>
      </c>
      <c r="Q179" s="341" t="s">
        <v>569</v>
      </c>
      <c r="R179" s="341"/>
      <c r="S179" s="341" t="s">
        <v>1347</v>
      </c>
      <c r="T179" s="341" t="s">
        <v>1348</v>
      </c>
      <c r="U179" s="341" t="s">
        <v>40</v>
      </c>
      <c r="V179" s="341" t="s">
        <v>983</v>
      </c>
      <c r="W179" s="341" t="s">
        <v>41</v>
      </c>
      <c r="X179" s="341">
        <f t="shared" si="2"/>
      </c>
    </row>
    <row r="180" spans="1:24" ht="225" x14ac:dyDescent="0.2">
      <c r="A180" s="341" t="s">
        <v>570</v>
      </c>
      <c r="B180" s="341" t="s">
        <v>571</v>
      </c>
      <c r="C180" s="341">
        <v>0</v>
      </c>
      <c r="D180" s="341">
        <v>0</v>
      </c>
      <c r="E180" s="341">
        <v>0</v>
      </c>
      <c r="F180" s="341">
        <v>1</v>
      </c>
      <c r="G180" s="341">
        <v>0</v>
      </c>
      <c r="H180" s="341">
        <v>0</v>
      </c>
      <c r="I180" s="341">
        <v>0</v>
      </c>
      <c r="J180" s="341">
        <v>1</v>
      </c>
      <c r="K180" s="341"/>
      <c r="L180" s="341" t="s">
        <v>162</v>
      </c>
      <c r="M180" s="341" t="s">
        <v>975</v>
      </c>
      <c r="N180" s="341" t="s">
        <v>1245</v>
      </c>
      <c r="O180" s="341" t="s">
        <v>975</v>
      </c>
      <c r="P180" s="341" t="s">
        <v>1885</v>
      </c>
      <c r="Q180" s="341" t="s">
        <v>1183</v>
      </c>
      <c r="R180" s="341"/>
      <c r="S180" s="341" t="s">
        <v>1349</v>
      </c>
      <c r="T180" s="341" t="s">
        <v>1341</v>
      </c>
      <c r="U180" s="341" t="s">
        <v>40</v>
      </c>
      <c r="V180" s="341" t="s">
        <v>975</v>
      </c>
      <c r="W180" s="341" t="s">
        <v>41</v>
      </c>
      <c r="X180" s="341">
        <f t="shared" si="2"/>
      </c>
    </row>
    <row r="181" spans="1:24" ht="224.25" customHeight="1" x14ac:dyDescent="0.2">
      <c r="A181" s="353" t="s">
        <v>572</v>
      </c>
      <c r="B181" s="353" t="s">
        <v>1013</v>
      </c>
      <c r="C181" s="341">
        <v>0</v>
      </c>
      <c r="D181" s="341">
        <v>0</v>
      </c>
      <c r="E181" s="341">
        <v>0</v>
      </c>
      <c r="F181" s="341">
        <v>1</v>
      </c>
      <c r="G181" s="341">
        <v>0</v>
      </c>
      <c r="H181" s="341">
        <v>0</v>
      </c>
      <c r="I181" s="341">
        <v>0</v>
      </c>
      <c r="J181" s="341">
        <v>0</v>
      </c>
      <c r="K181" s="341"/>
      <c r="L181" s="341" t="s">
        <v>162</v>
      </c>
      <c r="M181" s="341" t="s">
        <v>983</v>
      </c>
      <c r="N181" s="341" t="s">
        <v>1245</v>
      </c>
      <c r="O181" s="341" t="s">
        <v>975</v>
      </c>
      <c r="P181" s="341" t="s">
        <v>580</v>
      </c>
      <c r="Q181" s="341" t="s">
        <v>581</v>
      </c>
      <c r="R181" s="341"/>
      <c r="S181" s="341" t="s">
        <v>1350</v>
      </c>
      <c r="T181" s="341" t="s">
        <v>1351</v>
      </c>
      <c r="U181" s="341" t="s">
        <v>40</v>
      </c>
      <c r="V181" s="341" t="s">
        <v>983</v>
      </c>
      <c r="W181" s="341" t="s">
        <v>46</v>
      </c>
      <c r="X181" s="341">
        <f t="shared" si="2"/>
      </c>
    </row>
    <row r="182" spans="1:24" ht="135" x14ac:dyDescent="0.2">
      <c r="A182" s="353" t="s">
        <v>575</v>
      </c>
      <c r="B182" s="353" t="s">
        <v>1014</v>
      </c>
      <c r="C182" s="341">
        <v>0</v>
      </c>
      <c r="D182" s="341">
        <v>0</v>
      </c>
      <c r="E182" s="341">
        <v>0</v>
      </c>
      <c r="F182" s="341">
        <v>1</v>
      </c>
      <c r="G182" s="341">
        <v>0</v>
      </c>
      <c r="H182" s="341">
        <v>0</v>
      </c>
      <c r="I182" s="341">
        <v>0</v>
      </c>
      <c r="J182" s="341">
        <v>1</v>
      </c>
      <c r="K182" s="341"/>
      <c r="L182" s="341" t="s">
        <v>162</v>
      </c>
      <c r="M182" s="341" t="s">
        <v>983</v>
      </c>
      <c r="N182" s="341" t="s">
        <v>1245</v>
      </c>
      <c r="O182" s="341" t="s">
        <v>975</v>
      </c>
      <c r="P182" s="341" t="s">
        <v>583</v>
      </c>
      <c r="Q182" s="341" t="s">
        <v>584</v>
      </c>
      <c r="R182" s="341"/>
      <c r="S182" s="341" t="s">
        <v>1352</v>
      </c>
      <c r="T182" s="341" t="s">
        <v>1353</v>
      </c>
      <c r="U182" s="341" t="s">
        <v>40</v>
      </c>
      <c r="V182" s="341" t="s">
        <v>983</v>
      </c>
      <c r="W182" s="341" t="s">
        <v>46</v>
      </c>
      <c r="X182" s="341">
        <f t="shared" si="2"/>
      </c>
    </row>
    <row r="183" spans="1:24" ht="180" x14ac:dyDescent="0.2">
      <c r="A183" s="353" t="s">
        <v>579</v>
      </c>
      <c r="B183" s="353" t="s">
        <v>1015</v>
      </c>
      <c r="C183" s="341">
        <v>0</v>
      </c>
      <c r="D183" s="341">
        <v>0</v>
      </c>
      <c r="E183" s="341">
        <v>0</v>
      </c>
      <c r="F183" s="341">
        <v>1</v>
      </c>
      <c r="G183" s="341">
        <v>0</v>
      </c>
      <c r="H183" s="341">
        <v>0</v>
      </c>
      <c r="I183" s="341">
        <v>0</v>
      </c>
      <c r="J183" s="341">
        <v>1</v>
      </c>
      <c r="K183" s="341"/>
      <c r="L183" s="341" t="s">
        <v>162</v>
      </c>
      <c r="M183" s="341" t="s">
        <v>983</v>
      </c>
      <c r="N183" s="341" t="s">
        <v>1245</v>
      </c>
      <c r="O183" s="341" t="s">
        <v>975</v>
      </c>
      <c r="P183" s="341" t="s">
        <v>588</v>
      </c>
      <c r="Q183" s="341" t="s">
        <v>1114</v>
      </c>
      <c r="R183" s="341"/>
      <c r="S183" s="341" t="s">
        <v>1354</v>
      </c>
      <c r="T183" s="341" t="s">
        <v>589</v>
      </c>
      <c r="U183" s="341" t="s">
        <v>40</v>
      </c>
      <c r="V183" s="341" t="s">
        <v>983</v>
      </c>
      <c r="W183" s="341" t="s">
        <v>46</v>
      </c>
      <c r="X183" s="341">
        <f t="shared" si="2"/>
      </c>
    </row>
    <row r="184" spans="1:24" ht="289.5" customHeight="1" x14ac:dyDescent="0.2">
      <c r="A184" s="341" t="s">
        <v>582</v>
      </c>
      <c r="B184" s="341" t="s">
        <v>576</v>
      </c>
      <c r="C184" s="341">
        <v>0</v>
      </c>
      <c r="D184" s="341">
        <v>0</v>
      </c>
      <c r="E184" s="341">
        <v>0</v>
      </c>
      <c r="F184" s="341">
        <v>1</v>
      </c>
      <c r="G184" s="341">
        <v>0</v>
      </c>
      <c r="H184" s="341">
        <v>0</v>
      </c>
      <c r="I184" s="341">
        <v>0</v>
      </c>
      <c r="J184" s="341">
        <v>1</v>
      </c>
      <c r="K184" s="341"/>
      <c r="L184" s="341" t="s">
        <v>162</v>
      </c>
      <c r="M184" s="341" t="s">
        <v>983</v>
      </c>
      <c r="N184" s="341" t="s">
        <v>1245</v>
      </c>
      <c r="O184" s="341" t="s">
        <v>975</v>
      </c>
      <c r="P184" s="341" t="s">
        <v>577</v>
      </c>
      <c r="Q184" s="341" t="s">
        <v>578</v>
      </c>
      <c r="R184" s="341"/>
      <c r="S184" s="341" t="s">
        <v>1355</v>
      </c>
      <c r="T184" s="341" t="s">
        <v>1115</v>
      </c>
      <c r="U184" s="341" t="s">
        <v>40</v>
      </c>
      <c r="V184" s="341" t="s">
        <v>983</v>
      </c>
      <c r="W184" s="341" t="s">
        <v>75</v>
      </c>
      <c r="X184" s="341">
        <f t="shared" si="2"/>
      </c>
    </row>
    <row r="185" spans="1:24" ht="296.25" customHeight="1" x14ac:dyDescent="0.2">
      <c r="A185" s="341" t="s">
        <v>585</v>
      </c>
      <c r="B185" s="341" t="s">
        <v>1429</v>
      </c>
      <c r="C185" s="341">
        <v>0</v>
      </c>
      <c r="D185" s="341">
        <v>0</v>
      </c>
      <c r="E185" s="341">
        <v>0</v>
      </c>
      <c r="F185" s="341">
        <v>1</v>
      </c>
      <c r="G185" s="341">
        <v>0</v>
      </c>
      <c r="H185" s="341">
        <v>0</v>
      </c>
      <c r="I185" s="341">
        <v>0</v>
      </c>
      <c r="J185" s="341">
        <v>0</v>
      </c>
      <c r="K185" s="341"/>
      <c r="L185" s="341" t="s">
        <v>162</v>
      </c>
      <c r="M185" s="341" t="s">
        <v>983</v>
      </c>
      <c r="N185" s="341" t="s">
        <v>1245</v>
      </c>
      <c r="O185" s="341" t="s">
        <v>586</v>
      </c>
      <c r="P185" s="341" t="s">
        <v>586</v>
      </c>
      <c r="Q185" s="341" t="s">
        <v>586</v>
      </c>
      <c r="R185" s="341"/>
      <c r="S185" s="341" t="s">
        <v>1396</v>
      </c>
      <c r="T185" s="341" t="s">
        <v>1356</v>
      </c>
      <c r="U185" s="341" t="s">
        <v>40</v>
      </c>
      <c r="V185" s="341" t="s">
        <v>983</v>
      </c>
      <c r="W185" s="341" t="s">
        <v>75</v>
      </c>
      <c r="X185" s="341">
        <f t="shared" si="2"/>
      </c>
    </row>
    <row r="186" spans="1:24" ht="300" customHeight="1" x14ac:dyDescent="0.2">
      <c r="A186" s="341" t="s">
        <v>587</v>
      </c>
      <c r="B186" s="341" t="s">
        <v>573</v>
      </c>
      <c r="C186" s="341">
        <v>0</v>
      </c>
      <c r="D186" s="341">
        <v>0</v>
      </c>
      <c r="E186" s="341">
        <v>0</v>
      </c>
      <c r="F186" s="341">
        <v>1</v>
      </c>
      <c r="G186" s="341">
        <v>0</v>
      </c>
      <c r="H186" s="341">
        <v>0</v>
      </c>
      <c r="I186" s="341">
        <v>0</v>
      </c>
      <c r="J186" s="341">
        <v>1</v>
      </c>
      <c r="K186" s="341"/>
      <c r="L186" s="341" t="s">
        <v>162</v>
      </c>
      <c r="M186" s="341" t="s">
        <v>983</v>
      </c>
      <c r="N186" s="341" t="s">
        <v>1245</v>
      </c>
      <c r="O186" s="341" t="s">
        <v>975</v>
      </c>
      <c r="P186" s="341" t="s">
        <v>574</v>
      </c>
      <c r="Q186" s="341" t="s">
        <v>1886</v>
      </c>
      <c r="R186" s="341"/>
      <c r="S186" s="341" t="s">
        <v>1357</v>
      </c>
      <c r="T186" s="341" t="s">
        <v>1116</v>
      </c>
      <c r="U186" s="341" t="s">
        <v>40</v>
      </c>
      <c r="V186" s="341" t="s">
        <v>983</v>
      </c>
      <c r="W186" s="341" t="s">
        <v>41</v>
      </c>
      <c r="X186" s="341">
        <f t="shared" si="2"/>
      </c>
    </row>
    <row r="187" spans="1:24" ht="77.25" customHeight="1" x14ac:dyDescent="0.2">
      <c r="A187" s="353" t="s">
        <v>590</v>
      </c>
      <c r="B187" s="353" t="s">
        <v>1441</v>
      </c>
      <c r="C187" s="341">
        <v>0</v>
      </c>
      <c r="D187" s="341">
        <v>0</v>
      </c>
      <c r="E187" s="341">
        <v>0</v>
      </c>
      <c r="F187" s="341">
        <v>0</v>
      </c>
      <c r="G187" s="341">
        <v>0</v>
      </c>
      <c r="H187" s="341">
        <v>1</v>
      </c>
      <c r="I187" s="341">
        <v>0</v>
      </c>
      <c r="J187" s="341">
        <v>1</v>
      </c>
      <c r="K187" s="341"/>
      <c r="L187" s="341" t="s">
        <v>591</v>
      </c>
      <c r="M187" s="341" t="s">
        <v>983</v>
      </c>
      <c r="N187" s="341" t="s">
        <v>1358</v>
      </c>
      <c r="O187" s="341" t="s">
        <v>592</v>
      </c>
      <c r="P187" s="341" t="s">
        <v>592</v>
      </c>
      <c r="Q187" s="341" t="s">
        <v>592</v>
      </c>
      <c r="R187" s="341"/>
      <c r="S187" s="341" t="s">
        <v>593</v>
      </c>
      <c r="T187" s="341" t="s">
        <v>594</v>
      </c>
      <c r="U187" s="341" t="s">
        <v>40</v>
      </c>
      <c r="V187" s="341" t="s">
        <v>983</v>
      </c>
      <c r="W187" s="341" t="s">
        <v>46</v>
      </c>
      <c r="X187" s="341">
        <f t="shared" si="2"/>
      </c>
    </row>
    <row r="188" spans="1:24" ht="77.25" customHeight="1" x14ac:dyDescent="0.2">
      <c r="A188" s="353" t="s">
        <v>595</v>
      </c>
      <c r="B188" s="353" t="s">
        <v>1461</v>
      </c>
      <c r="C188" s="341">
        <v>0</v>
      </c>
      <c r="D188" s="341">
        <v>0</v>
      </c>
      <c r="E188" s="341">
        <v>0</v>
      </c>
      <c r="F188" s="341">
        <v>0</v>
      </c>
      <c r="G188" s="341">
        <v>0</v>
      </c>
      <c r="H188" s="341">
        <v>1</v>
      </c>
      <c r="I188" s="341">
        <v>0</v>
      </c>
      <c r="J188" s="341">
        <v>1</v>
      </c>
      <c r="K188" s="341"/>
      <c r="L188" s="341" t="s">
        <v>591</v>
      </c>
      <c r="M188" s="341" t="s">
        <v>983</v>
      </c>
      <c r="N188" s="341" t="s">
        <v>1358</v>
      </c>
      <c r="O188" s="341" t="s">
        <v>592</v>
      </c>
      <c r="P188" s="341" t="s">
        <v>592</v>
      </c>
      <c r="Q188" s="341" t="s">
        <v>592</v>
      </c>
      <c r="R188" s="341"/>
      <c r="S188" s="341" t="s">
        <v>593</v>
      </c>
      <c r="T188" s="341" t="s">
        <v>594</v>
      </c>
      <c r="U188" s="341" t="s">
        <v>40</v>
      </c>
      <c r="V188" s="341" t="s">
        <v>983</v>
      </c>
      <c r="W188" s="341" t="s">
        <v>46</v>
      </c>
      <c r="X188" s="341">
        <f t="shared" si="2"/>
      </c>
    </row>
    <row r="189" spans="1:24" ht="77.25" customHeight="1" x14ac:dyDescent="0.2">
      <c r="A189" s="353" t="s">
        <v>597</v>
      </c>
      <c r="B189" s="353" t="s">
        <v>1459</v>
      </c>
      <c r="C189" s="341">
        <v>0</v>
      </c>
      <c r="D189" s="341">
        <v>0</v>
      </c>
      <c r="E189" s="341">
        <v>0</v>
      </c>
      <c r="F189" s="341">
        <v>0</v>
      </c>
      <c r="G189" s="341">
        <v>0</v>
      </c>
      <c r="H189" s="341">
        <v>1</v>
      </c>
      <c r="I189" s="341">
        <v>0</v>
      </c>
      <c r="J189" s="341">
        <v>1</v>
      </c>
      <c r="K189" s="341"/>
      <c r="L189" s="341" t="s">
        <v>591</v>
      </c>
      <c r="M189" s="341" t="s">
        <v>983</v>
      </c>
      <c r="N189" s="341" t="s">
        <v>1358</v>
      </c>
      <c r="O189" s="341" t="s">
        <v>592</v>
      </c>
      <c r="P189" s="341" t="s">
        <v>592</v>
      </c>
      <c r="Q189" s="341" t="s">
        <v>592</v>
      </c>
      <c r="R189" s="341"/>
      <c r="S189" s="341" t="s">
        <v>593</v>
      </c>
      <c r="T189" s="341" t="s">
        <v>594</v>
      </c>
      <c r="U189" s="341" t="s">
        <v>40</v>
      </c>
      <c r="V189" s="341" t="s">
        <v>983</v>
      </c>
      <c r="W189" s="341" t="s">
        <v>46</v>
      </c>
      <c r="X189" s="341">
        <f t="shared" si="2"/>
      </c>
    </row>
    <row r="190" spans="1:24" ht="77.25" customHeight="1" x14ac:dyDescent="0.2">
      <c r="A190" s="353" t="s">
        <v>599</v>
      </c>
      <c r="B190" s="353" t="s">
        <v>1430</v>
      </c>
      <c r="C190" s="341">
        <v>0</v>
      </c>
      <c r="D190" s="341">
        <v>0</v>
      </c>
      <c r="E190" s="341">
        <v>0</v>
      </c>
      <c r="F190" s="341">
        <v>0</v>
      </c>
      <c r="G190" s="341">
        <v>0</v>
      </c>
      <c r="H190" s="341">
        <v>1</v>
      </c>
      <c r="I190" s="341">
        <v>0</v>
      </c>
      <c r="J190" s="341">
        <v>1</v>
      </c>
      <c r="K190" s="341"/>
      <c r="L190" s="341" t="s">
        <v>591</v>
      </c>
      <c r="M190" s="341" t="s">
        <v>983</v>
      </c>
      <c r="N190" s="341" t="s">
        <v>1358</v>
      </c>
      <c r="O190" s="341" t="s">
        <v>592</v>
      </c>
      <c r="P190" s="341" t="s">
        <v>592</v>
      </c>
      <c r="Q190" s="341" t="s">
        <v>592</v>
      </c>
      <c r="R190" s="341"/>
      <c r="S190" s="341" t="s">
        <v>593</v>
      </c>
      <c r="T190" s="341" t="s">
        <v>594</v>
      </c>
      <c r="U190" s="341" t="s">
        <v>40</v>
      </c>
      <c r="V190" s="341" t="s">
        <v>983</v>
      </c>
      <c r="W190" s="341" t="s">
        <v>46</v>
      </c>
      <c r="X190" s="341">
        <f t="shared" si="2"/>
      </c>
    </row>
    <row r="191" spans="1:24" ht="77.25" customHeight="1" x14ac:dyDescent="0.2">
      <c r="A191" s="341" t="s">
        <v>601</v>
      </c>
      <c r="B191" s="341" t="s">
        <v>596</v>
      </c>
      <c r="C191" s="341">
        <v>0</v>
      </c>
      <c r="D191" s="341">
        <v>0</v>
      </c>
      <c r="E191" s="341">
        <v>0</v>
      </c>
      <c r="F191" s="341">
        <v>0</v>
      </c>
      <c r="G191" s="341">
        <v>0</v>
      </c>
      <c r="H191" s="341">
        <v>1</v>
      </c>
      <c r="I191" s="341">
        <v>0</v>
      </c>
      <c r="J191" s="341">
        <v>1</v>
      </c>
      <c r="K191" s="341"/>
      <c r="L191" s="341" t="s">
        <v>591</v>
      </c>
      <c r="M191" s="341" t="s">
        <v>983</v>
      </c>
      <c r="N191" s="341" t="s">
        <v>1358</v>
      </c>
      <c r="O191" s="341" t="s">
        <v>592</v>
      </c>
      <c r="P191" s="341" t="s">
        <v>592</v>
      </c>
      <c r="Q191" s="341" t="s">
        <v>592</v>
      </c>
      <c r="R191" s="341"/>
      <c r="S191" s="341" t="s">
        <v>593</v>
      </c>
      <c r="T191" s="341" t="s">
        <v>594</v>
      </c>
      <c r="U191" s="341" t="s">
        <v>40</v>
      </c>
      <c r="V191" s="341" t="s">
        <v>983</v>
      </c>
      <c r="W191" s="341" t="s">
        <v>75</v>
      </c>
      <c r="X191" s="341">
        <f t="shared" si="2"/>
      </c>
    </row>
    <row r="192" spans="1:24" ht="77.25" customHeight="1" x14ac:dyDescent="0.2">
      <c r="A192" s="341" t="s">
        <v>602</v>
      </c>
      <c r="B192" s="341" t="s">
        <v>598</v>
      </c>
      <c r="C192" s="341">
        <v>0</v>
      </c>
      <c r="D192" s="341">
        <v>0</v>
      </c>
      <c r="E192" s="341">
        <v>0</v>
      </c>
      <c r="F192" s="341">
        <v>0</v>
      </c>
      <c r="G192" s="341">
        <v>0</v>
      </c>
      <c r="H192" s="341">
        <v>1</v>
      </c>
      <c r="I192" s="341">
        <v>0</v>
      </c>
      <c r="J192" s="341">
        <v>1</v>
      </c>
      <c r="K192" s="341"/>
      <c r="L192" s="341" t="s">
        <v>591</v>
      </c>
      <c r="M192" s="341" t="s">
        <v>983</v>
      </c>
      <c r="N192" s="341" t="s">
        <v>1358</v>
      </c>
      <c r="O192" s="341" t="s">
        <v>592</v>
      </c>
      <c r="P192" s="341" t="s">
        <v>592</v>
      </c>
      <c r="Q192" s="341" t="s">
        <v>592</v>
      </c>
      <c r="R192" s="341"/>
      <c r="S192" s="341" t="s">
        <v>593</v>
      </c>
      <c r="T192" s="341" t="s">
        <v>594</v>
      </c>
      <c r="U192" s="341" t="s">
        <v>40</v>
      </c>
      <c r="V192" s="341" t="s">
        <v>983</v>
      </c>
      <c r="W192" s="341" t="s">
        <v>75</v>
      </c>
      <c r="X192" s="341">
        <f t="shared" si="2"/>
      </c>
    </row>
    <row r="193" spans="1:24" ht="77.25" customHeight="1" x14ac:dyDescent="0.2">
      <c r="A193" s="341" t="s">
        <v>603</v>
      </c>
      <c r="B193" s="341" t="s">
        <v>600</v>
      </c>
      <c r="C193" s="341">
        <v>0</v>
      </c>
      <c r="D193" s="341">
        <v>0</v>
      </c>
      <c r="E193" s="341">
        <v>0</v>
      </c>
      <c r="F193" s="341">
        <v>0</v>
      </c>
      <c r="G193" s="341">
        <v>0</v>
      </c>
      <c r="H193" s="341">
        <v>1</v>
      </c>
      <c r="I193" s="341">
        <v>0</v>
      </c>
      <c r="J193" s="341">
        <v>1</v>
      </c>
      <c r="K193" s="341"/>
      <c r="L193" s="341" t="s">
        <v>591</v>
      </c>
      <c r="M193" s="341" t="s">
        <v>983</v>
      </c>
      <c r="N193" s="341" t="s">
        <v>1358</v>
      </c>
      <c r="O193" s="341" t="s">
        <v>592</v>
      </c>
      <c r="P193" s="341" t="s">
        <v>592</v>
      </c>
      <c r="Q193" s="341" t="s">
        <v>592</v>
      </c>
      <c r="R193" s="341"/>
      <c r="S193" s="341" t="s">
        <v>593</v>
      </c>
      <c r="T193" s="341" t="s">
        <v>594</v>
      </c>
      <c r="U193" s="341" t="s">
        <v>40</v>
      </c>
      <c r="V193" s="341" t="s">
        <v>983</v>
      </c>
      <c r="W193" s="341" t="s">
        <v>75</v>
      </c>
      <c r="X193" s="341">
        <f t="shared" si="2"/>
      </c>
    </row>
    <row r="194" spans="1:24" ht="77.25" customHeight="1" x14ac:dyDescent="0.2">
      <c r="A194" s="341" t="s">
        <v>605</v>
      </c>
      <c r="B194" s="341" t="s">
        <v>1431</v>
      </c>
      <c r="C194" s="341">
        <v>0</v>
      </c>
      <c r="D194" s="341">
        <v>0</v>
      </c>
      <c r="E194" s="341">
        <v>0</v>
      </c>
      <c r="F194" s="341">
        <v>0</v>
      </c>
      <c r="G194" s="341">
        <v>0</v>
      </c>
      <c r="H194" s="341">
        <v>1</v>
      </c>
      <c r="I194" s="341">
        <v>0</v>
      </c>
      <c r="J194" s="341">
        <v>1</v>
      </c>
      <c r="K194" s="341"/>
      <c r="L194" s="341" t="s">
        <v>591</v>
      </c>
      <c r="M194" s="341" t="s">
        <v>983</v>
      </c>
      <c r="N194" s="341" t="s">
        <v>1358</v>
      </c>
      <c r="O194" s="341" t="s">
        <v>592</v>
      </c>
      <c r="P194" s="341" t="s">
        <v>592</v>
      </c>
      <c r="Q194" s="341" t="s">
        <v>592</v>
      </c>
      <c r="R194" s="341"/>
      <c r="S194" s="341" t="s">
        <v>593</v>
      </c>
      <c r="T194" s="341" t="s">
        <v>594</v>
      </c>
      <c r="U194" s="341" t="s">
        <v>40</v>
      </c>
      <c r="V194" s="341" t="s">
        <v>983</v>
      </c>
      <c r="W194" s="341" t="s">
        <v>75</v>
      </c>
      <c r="X194" s="341">
        <f t="shared" si="2"/>
      </c>
    </row>
    <row r="195" spans="1:24" ht="77.25" customHeight="1" x14ac:dyDescent="0.2">
      <c r="A195" s="341" t="s">
        <v>607</v>
      </c>
      <c r="B195" s="341" t="s">
        <v>604</v>
      </c>
      <c r="C195" s="341">
        <v>0</v>
      </c>
      <c r="D195" s="341">
        <v>0</v>
      </c>
      <c r="E195" s="341">
        <v>0</v>
      </c>
      <c r="F195" s="341">
        <v>0</v>
      </c>
      <c r="G195" s="341">
        <v>0</v>
      </c>
      <c r="H195" s="341">
        <v>1</v>
      </c>
      <c r="I195" s="341">
        <v>0</v>
      </c>
      <c r="J195" s="341">
        <v>1</v>
      </c>
      <c r="K195" s="341"/>
      <c r="L195" s="341" t="s">
        <v>591</v>
      </c>
      <c r="M195" s="341" t="s">
        <v>983</v>
      </c>
      <c r="N195" s="341" t="s">
        <v>1358</v>
      </c>
      <c r="O195" s="341" t="s">
        <v>592</v>
      </c>
      <c r="P195" s="341" t="s">
        <v>592</v>
      </c>
      <c r="Q195" s="341" t="s">
        <v>592</v>
      </c>
      <c r="R195" s="341"/>
      <c r="S195" s="341" t="s">
        <v>593</v>
      </c>
      <c r="T195" s="341" t="s">
        <v>594</v>
      </c>
      <c r="U195" s="341" t="s">
        <v>40</v>
      </c>
      <c r="V195" s="341" t="s">
        <v>983</v>
      </c>
      <c r="W195" s="341" t="s">
        <v>75</v>
      </c>
      <c r="X195" s="341">
        <f t="shared" si="2"/>
      </c>
    </row>
    <row r="196" spans="1:24" ht="77.25" customHeight="1" x14ac:dyDescent="0.2">
      <c r="A196" s="341" t="s">
        <v>609</v>
      </c>
      <c r="B196" s="341" t="s">
        <v>606</v>
      </c>
      <c r="C196" s="341">
        <v>0</v>
      </c>
      <c r="D196" s="341">
        <v>0</v>
      </c>
      <c r="E196" s="341">
        <v>0</v>
      </c>
      <c r="F196" s="341">
        <v>0</v>
      </c>
      <c r="G196" s="341">
        <v>0</v>
      </c>
      <c r="H196" s="341">
        <v>1</v>
      </c>
      <c r="I196" s="341">
        <v>0</v>
      </c>
      <c r="J196" s="341">
        <v>1</v>
      </c>
      <c r="K196" s="341"/>
      <c r="L196" s="341" t="s">
        <v>591</v>
      </c>
      <c r="M196" s="341" t="s">
        <v>983</v>
      </c>
      <c r="N196" s="341" t="s">
        <v>1358</v>
      </c>
      <c r="O196" s="341" t="s">
        <v>592</v>
      </c>
      <c r="P196" s="341" t="s">
        <v>592</v>
      </c>
      <c r="Q196" s="341" t="s">
        <v>592</v>
      </c>
      <c r="R196" s="341"/>
      <c r="S196" s="341" t="s">
        <v>593</v>
      </c>
      <c r="T196" s="341" t="s">
        <v>594</v>
      </c>
      <c r="U196" s="341" t="s">
        <v>40</v>
      </c>
      <c r="V196" s="341" t="s">
        <v>983</v>
      </c>
      <c r="W196" s="341" t="s">
        <v>75</v>
      </c>
      <c r="X196" s="341">
        <f t="shared" si="2"/>
      </c>
    </row>
    <row r="197" spans="1:24" ht="77.25" customHeight="1" x14ac:dyDescent="0.2">
      <c r="A197" s="341" t="s">
        <v>611</v>
      </c>
      <c r="B197" s="341" t="s">
        <v>608</v>
      </c>
      <c r="C197" s="341">
        <v>0</v>
      </c>
      <c r="D197" s="341">
        <v>0</v>
      </c>
      <c r="E197" s="341">
        <v>0</v>
      </c>
      <c r="F197" s="341">
        <v>0</v>
      </c>
      <c r="G197" s="341">
        <v>0</v>
      </c>
      <c r="H197" s="341">
        <v>1</v>
      </c>
      <c r="I197" s="341">
        <v>0</v>
      </c>
      <c r="J197" s="341">
        <v>1</v>
      </c>
      <c r="K197" s="341"/>
      <c r="L197" s="341" t="s">
        <v>591</v>
      </c>
      <c r="M197" s="341" t="s">
        <v>983</v>
      </c>
      <c r="N197" s="341" t="s">
        <v>1358</v>
      </c>
      <c r="O197" s="341" t="s">
        <v>592</v>
      </c>
      <c r="P197" s="341" t="s">
        <v>592</v>
      </c>
      <c r="Q197" s="341" t="s">
        <v>592</v>
      </c>
      <c r="R197" s="341"/>
      <c r="S197" s="341" t="s">
        <v>593</v>
      </c>
      <c r="T197" s="341" t="s">
        <v>594</v>
      </c>
      <c r="U197" s="341" t="s">
        <v>40</v>
      </c>
      <c r="V197" s="341" t="s">
        <v>983</v>
      </c>
      <c r="W197" s="341" t="s">
        <v>75</v>
      </c>
      <c r="X197" s="341">
        <f t="shared" si="2"/>
      </c>
    </row>
    <row r="198" spans="1:24" ht="77.25" customHeight="1" x14ac:dyDescent="0.2">
      <c r="A198" s="341" t="s">
        <v>613</v>
      </c>
      <c r="B198" s="341" t="s">
        <v>610</v>
      </c>
      <c r="C198" s="341">
        <v>0</v>
      </c>
      <c r="D198" s="341">
        <v>0</v>
      </c>
      <c r="E198" s="341">
        <v>0</v>
      </c>
      <c r="F198" s="341">
        <v>0</v>
      </c>
      <c r="G198" s="341">
        <v>0</v>
      </c>
      <c r="H198" s="341">
        <v>1</v>
      </c>
      <c r="I198" s="341">
        <v>0</v>
      </c>
      <c r="J198" s="341">
        <v>1</v>
      </c>
      <c r="K198" s="341"/>
      <c r="L198" s="341" t="s">
        <v>591</v>
      </c>
      <c r="M198" s="341" t="s">
        <v>983</v>
      </c>
      <c r="N198" s="341" t="s">
        <v>1358</v>
      </c>
      <c r="O198" s="341" t="s">
        <v>592</v>
      </c>
      <c r="P198" s="341" t="s">
        <v>592</v>
      </c>
      <c r="Q198" s="341" t="s">
        <v>592</v>
      </c>
      <c r="R198" s="341"/>
      <c r="S198" s="341" t="s">
        <v>593</v>
      </c>
      <c r="T198" s="341" t="s">
        <v>594</v>
      </c>
      <c r="U198" s="341" t="s">
        <v>40</v>
      </c>
      <c r="V198" s="341" t="s">
        <v>983</v>
      </c>
      <c r="W198" s="341" t="s">
        <v>75</v>
      </c>
      <c r="X198" s="341">
        <f t="shared" si="2"/>
      </c>
    </row>
    <row r="199" spans="1:24" ht="77.25" customHeight="1" x14ac:dyDescent="0.2">
      <c r="A199" s="341" t="s">
        <v>615</v>
      </c>
      <c r="B199" s="341" t="s">
        <v>612</v>
      </c>
      <c r="C199" s="341">
        <v>0</v>
      </c>
      <c r="D199" s="341">
        <v>0</v>
      </c>
      <c r="E199" s="341">
        <v>0</v>
      </c>
      <c r="F199" s="341">
        <v>0</v>
      </c>
      <c r="G199" s="341">
        <v>0</v>
      </c>
      <c r="H199" s="341">
        <v>1</v>
      </c>
      <c r="I199" s="341">
        <v>0</v>
      </c>
      <c r="J199" s="341">
        <v>1</v>
      </c>
      <c r="K199" s="341"/>
      <c r="L199" s="341" t="s">
        <v>591</v>
      </c>
      <c r="M199" s="341" t="s">
        <v>983</v>
      </c>
      <c r="N199" s="341" t="s">
        <v>1358</v>
      </c>
      <c r="O199" s="341" t="s">
        <v>592</v>
      </c>
      <c r="P199" s="341" t="s">
        <v>592</v>
      </c>
      <c r="Q199" s="341" t="s">
        <v>592</v>
      </c>
      <c r="R199" s="341"/>
      <c r="S199" s="341" t="s">
        <v>593</v>
      </c>
      <c r="T199" s="341" t="s">
        <v>594</v>
      </c>
      <c r="U199" s="341" t="s">
        <v>40</v>
      </c>
      <c r="V199" s="341" t="s">
        <v>983</v>
      </c>
      <c r="W199" s="341" t="s">
        <v>75</v>
      </c>
      <c r="X199" s="341">
        <f t="shared" si="2"/>
      </c>
    </row>
    <row r="200" spans="1:24" ht="77.25" customHeight="1" x14ac:dyDescent="0.2">
      <c r="A200" s="341" t="s">
        <v>617</v>
      </c>
      <c r="B200" s="341" t="s">
        <v>614</v>
      </c>
      <c r="C200" s="341">
        <v>0</v>
      </c>
      <c r="D200" s="341">
        <v>0</v>
      </c>
      <c r="E200" s="341">
        <v>0</v>
      </c>
      <c r="F200" s="341">
        <v>0</v>
      </c>
      <c r="G200" s="341">
        <v>0</v>
      </c>
      <c r="H200" s="341">
        <v>1</v>
      </c>
      <c r="I200" s="341">
        <v>0</v>
      </c>
      <c r="J200" s="341">
        <v>1</v>
      </c>
      <c r="K200" s="341"/>
      <c r="L200" s="341" t="s">
        <v>591</v>
      </c>
      <c r="M200" s="341" t="s">
        <v>983</v>
      </c>
      <c r="N200" s="341" t="s">
        <v>1358</v>
      </c>
      <c r="O200" s="341" t="s">
        <v>592</v>
      </c>
      <c r="P200" s="341" t="s">
        <v>592</v>
      </c>
      <c r="Q200" s="341" t="s">
        <v>592</v>
      </c>
      <c r="R200" s="341"/>
      <c r="S200" s="341" t="s">
        <v>593</v>
      </c>
      <c r="T200" s="341" t="s">
        <v>594</v>
      </c>
      <c r="U200" s="341" t="s">
        <v>148</v>
      </c>
      <c r="V200" s="341" t="s">
        <v>983</v>
      </c>
      <c r="W200" s="341" t="s">
        <v>75</v>
      </c>
      <c r="X200" s="341">
        <f t="shared" si="2"/>
      </c>
    </row>
    <row r="201" spans="1:24" ht="77.25" customHeight="1" x14ac:dyDescent="0.2">
      <c r="A201" s="341" t="s">
        <v>619</v>
      </c>
      <c r="B201" s="341" t="s">
        <v>616</v>
      </c>
      <c r="C201" s="341">
        <v>0</v>
      </c>
      <c r="D201" s="341">
        <v>0</v>
      </c>
      <c r="E201" s="341">
        <v>0</v>
      </c>
      <c r="F201" s="341">
        <v>0</v>
      </c>
      <c r="G201" s="341">
        <v>0</v>
      </c>
      <c r="H201" s="341">
        <v>1</v>
      </c>
      <c r="I201" s="341">
        <v>0</v>
      </c>
      <c r="J201" s="341">
        <v>1</v>
      </c>
      <c r="K201" s="341"/>
      <c r="L201" s="341" t="s">
        <v>591</v>
      </c>
      <c r="M201" s="341" t="s">
        <v>983</v>
      </c>
      <c r="N201" s="341" t="s">
        <v>1358</v>
      </c>
      <c r="O201" s="341" t="s">
        <v>592</v>
      </c>
      <c r="P201" s="341" t="s">
        <v>592</v>
      </c>
      <c r="Q201" s="341" t="s">
        <v>592</v>
      </c>
      <c r="R201" s="341"/>
      <c r="S201" s="341" t="s">
        <v>593</v>
      </c>
      <c r="T201" s="341" t="s">
        <v>594</v>
      </c>
      <c r="U201" s="341" t="s">
        <v>40</v>
      </c>
      <c r="V201" s="341" t="s">
        <v>983</v>
      </c>
      <c r="W201" s="341" t="s">
        <v>75</v>
      </c>
      <c r="X201" s="341">
        <f t="shared" si="2"/>
      </c>
    </row>
    <row r="202" spans="1:24" ht="77.25" customHeight="1" x14ac:dyDescent="0.2">
      <c r="A202" s="341" t="s">
        <v>621</v>
      </c>
      <c r="B202" s="341" t="s">
        <v>618</v>
      </c>
      <c r="C202" s="341">
        <v>0</v>
      </c>
      <c r="D202" s="341">
        <v>0</v>
      </c>
      <c r="E202" s="341">
        <v>0</v>
      </c>
      <c r="F202" s="341">
        <v>0</v>
      </c>
      <c r="G202" s="341">
        <v>0</v>
      </c>
      <c r="H202" s="341">
        <v>1</v>
      </c>
      <c r="I202" s="341">
        <v>0</v>
      </c>
      <c r="J202" s="341">
        <v>1</v>
      </c>
      <c r="K202" s="341"/>
      <c r="L202" s="341" t="s">
        <v>591</v>
      </c>
      <c r="M202" s="341" t="s">
        <v>983</v>
      </c>
      <c r="N202" s="341" t="s">
        <v>1358</v>
      </c>
      <c r="O202" s="341" t="s">
        <v>592</v>
      </c>
      <c r="P202" s="341" t="s">
        <v>592</v>
      </c>
      <c r="Q202" s="341" t="s">
        <v>592</v>
      </c>
      <c r="R202" s="341"/>
      <c r="S202" s="341" t="s">
        <v>593</v>
      </c>
      <c r="T202" s="341" t="s">
        <v>594</v>
      </c>
      <c r="U202" s="341" t="s">
        <v>40</v>
      </c>
      <c r="V202" s="341" t="s">
        <v>983</v>
      </c>
      <c r="W202" s="341" t="s">
        <v>75</v>
      </c>
      <c r="X202" s="341">
        <f t="shared" si="2"/>
      </c>
    </row>
    <row r="203" spans="1:24" ht="77.25" customHeight="1" x14ac:dyDescent="0.2">
      <c r="A203" s="341" t="s">
        <v>623</v>
      </c>
      <c r="B203" s="341" t="s">
        <v>620</v>
      </c>
      <c r="C203" s="341">
        <v>0</v>
      </c>
      <c r="D203" s="341">
        <v>0</v>
      </c>
      <c r="E203" s="341">
        <v>0</v>
      </c>
      <c r="F203" s="341">
        <v>0</v>
      </c>
      <c r="G203" s="341">
        <v>0</v>
      </c>
      <c r="H203" s="341">
        <v>1</v>
      </c>
      <c r="I203" s="341">
        <v>0</v>
      </c>
      <c r="J203" s="341">
        <v>1</v>
      </c>
      <c r="K203" s="341"/>
      <c r="L203" s="341" t="s">
        <v>591</v>
      </c>
      <c r="M203" s="341" t="s">
        <v>983</v>
      </c>
      <c r="N203" s="341" t="s">
        <v>1358</v>
      </c>
      <c r="O203" s="341" t="s">
        <v>592</v>
      </c>
      <c r="P203" s="341" t="s">
        <v>592</v>
      </c>
      <c r="Q203" s="341" t="s">
        <v>592</v>
      </c>
      <c r="R203" s="341"/>
      <c r="S203" s="341" t="s">
        <v>593</v>
      </c>
      <c r="T203" s="341" t="s">
        <v>594</v>
      </c>
      <c r="U203" s="341" t="s">
        <v>40</v>
      </c>
      <c r="V203" s="341" t="s">
        <v>983</v>
      </c>
      <c r="W203" s="341" t="s">
        <v>75</v>
      </c>
      <c r="X203" s="341">
        <f t="shared" si="2"/>
      </c>
    </row>
    <row r="204" spans="1:24" ht="77.25" customHeight="1" x14ac:dyDescent="0.2">
      <c r="A204" s="341" t="s">
        <v>625</v>
      </c>
      <c r="B204" s="341" t="s">
        <v>622</v>
      </c>
      <c r="C204" s="341">
        <v>0</v>
      </c>
      <c r="D204" s="341">
        <v>0</v>
      </c>
      <c r="E204" s="341">
        <v>0</v>
      </c>
      <c r="F204" s="341">
        <v>0</v>
      </c>
      <c r="G204" s="341">
        <v>0</v>
      </c>
      <c r="H204" s="341">
        <v>1</v>
      </c>
      <c r="I204" s="341">
        <v>0</v>
      </c>
      <c r="J204" s="341">
        <v>1</v>
      </c>
      <c r="K204" s="341"/>
      <c r="L204" s="341" t="s">
        <v>591</v>
      </c>
      <c r="M204" s="341" t="s">
        <v>983</v>
      </c>
      <c r="N204" s="341" t="s">
        <v>1358</v>
      </c>
      <c r="O204" s="341" t="s">
        <v>592</v>
      </c>
      <c r="P204" s="341" t="s">
        <v>592</v>
      </c>
      <c r="Q204" s="341" t="s">
        <v>592</v>
      </c>
      <c r="R204" s="341"/>
      <c r="S204" s="341" t="s">
        <v>593</v>
      </c>
      <c r="T204" s="341" t="s">
        <v>594</v>
      </c>
      <c r="U204" s="341" t="s">
        <v>148</v>
      </c>
      <c r="V204" s="341" t="s">
        <v>983</v>
      </c>
      <c r="W204" s="341" t="s">
        <v>75</v>
      </c>
      <c r="X204" s="341">
        <f t="shared" ref="X204:X237" si="3">IF($W204="Critical Importance",20,IF($W204="Minor Importance",5,10))</f>
      </c>
    </row>
    <row r="205" spans="1:24" ht="77.25" customHeight="1" x14ac:dyDescent="0.2">
      <c r="A205" s="341" t="s">
        <v>626</v>
      </c>
      <c r="B205" s="341" t="s">
        <v>624</v>
      </c>
      <c r="C205" s="341">
        <v>0</v>
      </c>
      <c r="D205" s="341">
        <v>0</v>
      </c>
      <c r="E205" s="341">
        <v>0</v>
      </c>
      <c r="F205" s="341">
        <v>0</v>
      </c>
      <c r="G205" s="341">
        <v>0</v>
      </c>
      <c r="H205" s="341">
        <v>1</v>
      </c>
      <c r="I205" s="341">
        <v>0</v>
      </c>
      <c r="J205" s="341">
        <v>1</v>
      </c>
      <c r="K205" s="341"/>
      <c r="L205" s="341" t="s">
        <v>591</v>
      </c>
      <c r="M205" s="341" t="s">
        <v>983</v>
      </c>
      <c r="N205" s="341" t="s">
        <v>1358</v>
      </c>
      <c r="O205" s="341" t="s">
        <v>592</v>
      </c>
      <c r="P205" s="341" t="s">
        <v>592</v>
      </c>
      <c r="Q205" s="341" t="s">
        <v>592</v>
      </c>
      <c r="R205" s="341"/>
      <c r="S205" s="341" t="s">
        <v>593</v>
      </c>
      <c r="T205" s="341" t="s">
        <v>594</v>
      </c>
      <c r="U205" s="341" t="s">
        <v>40</v>
      </c>
      <c r="V205" s="341" t="s">
        <v>983</v>
      </c>
      <c r="W205" s="341" t="s">
        <v>75</v>
      </c>
      <c r="X205" s="341">
        <f t="shared" si="3"/>
      </c>
    </row>
    <row r="206" spans="1:24" ht="77.25" customHeight="1" x14ac:dyDescent="0.2">
      <c r="A206" s="341" t="s">
        <v>628</v>
      </c>
      <c r="B206" s="341" t="s">
        <v>1359</v>
      </c>
      <c r="C206" s="341">
        <v>0</v>
      </c>
      <c r="D206" s="341">
        <v>0</v>
      </c>
      <c r="E206" s="341">
        <v>0</v>
      </c>
      <c r="F206" s="341">
        <v>0</v>
      </c>
      <c r="G206" s="341">
        <v>0</v>
      </c>
      <c r="H206" s="341">
        <v>1</v>
      </c>
      <c r="I206" s="341">
        <v>0</v>
      </c>
      <c r="J206" s="341">
        <v>1</v>
      </c>
      <c r="K206" s="341"/>
      <c r="L206" s="341" t="s">
        <v>591</v>
      </c>
      <c r="M206" s="341" t="s">
        <v>983</v>
      </c>
      <c r="N206" s="341" t="s">
        <v>1358</v>
      </c>
      <c r="O206" s="341" t="s">
        <v>592</v>
      </c>
      <c r="P206" s="341" t="s">
        <v>592</v>
      </c>
      <c r="Q206" s="341" t="s">
        <v>592</v>
      </c>
      <c r="R206" s="341"/>
      <c r="S206" s="341" t="s">
        <v>593</v>
      </c>
      <c r="T206" s="341" t="s">
        <v>594</v>
      </c>
      <c r="U206" s="341" t="s">
        <v>40</v>
      </c>
      <c r="V206" s="341" t="s">
        <v>983</v>
      </c>
      <c r="W206" s="341" t="s">
        <v>75</v>
      </c>
      <c r="X206" s="341">
        <f t="shared" si="3"/>
      </c>
    </row>
    <row r="207" spans="1:24" ht="77.25" customHeight="1" x14ac:dyDescent="0.2">
      <c r="A207" s="341" t="s">
        <v>629</v>
      </c>
      <c r="B207" s="341" t="s">
        <v>627</v>
      </c>
      <c r="C207" s="341">
        <v>0</v>
      </c>
      <c r="D207" s="341">
        <v>0</v>
      </c>
      <c r="E207" s="341">
        <v>0</v>
      </c>
      <c r="F207" s="341">
        <v>0</v>
      </c>
      <c r="G207" s="341">
        <v>0</v>
      </c>
      <c r="H207" s="341">
        <v>1</v>
      </c>
      <c r="I207" s="341">
        <v>0</v>
      </c>
      <c r="J207" s="341">
        <v>1</v>
      </c>
      <c r="K207" s="341"/>
      <c r="L207" s="341" t="s">
        <v>591</v>
      </c>
      <c r="M207" s="341" t="s">
        <v>983</v>
      </c>
      <c r="N207" s="341" t="s">
        <v>1358</v>
      </c>
      <c r="O207" s="341" t="s">
        <v>592</v>
      </c>
      <c r="P207" s="341" t="s">
        <v>592</v>
      </c>
      <c r="Q207" s="341" t="s">
        <v>592</v>
      </c>
      <c r="R207" s="341"/>
      <c r="S207" s="341" t="s">
        <v>593</v>
      </c>
      <c r="T207" s="341" t="s">
        <v>594</v>
      </c>
      <c r="U207" s="341" t="s">
        <v>40</v>
      </c>
      <c r="V207" s="341" t="s">
        <v>983</v>
      </c>
      <c r="W207" s="341" t="s">
        <v>75</v>
      </c>
      <c r="X207" s="341">
        <f t="shared" si="3"/>
      </c>
    </row>
    <row r="208" spans="1:24" ht="77.25" customHeight="1" x14ac:dyDescent="0.2">
      <c r="A208" s="341" t="s">
        <v>630</v>
      </c>
      <c r="B208" s="341" t="s">
        <v>1117</v>
      </c>
      <c r="C208" s="341">
        <v>0</v>
      </c>
      <c r="D208" s="341">
        <v>0</v>
      </c>
      <c r="E208" s="341">
        <v>0</v>
      </c>
      <c r="F208" s="341">
        <v>0</v>
      </c>
      <c r="G208" s="341">
        <v>0</v>
      </c>
      <c r="H208" s="341">
        <v>1</v>
      </c>
      <c r="I208" s="341">
        <v>0</v>
      </c>
      <c r="J208" s="341">
        <v>1</v>
      </c>
      <c r="K208" s="341"/>
      <c r="L208" s="341" t="s">
        <v>591</v>
      </c>
      <c r="M208" s="341" t="s">
        <v>983</v>
      </c>
      <c r="N208" s="341" t="s">
        <v>1358</v>
      </c>
      <c r="O208" s="341" t="s">
        <v>592</v>
      </c>
      <c r="P208" s="341" t="s">
        <v>592</v>
      </c>
      <c r="Q208" s="341" t="s">
        <v>592</v>
      </c>
      <c r="R208" s="341"/>
      <c r="S208" s="341" t="s">
        <v>593</v>
      </c>
      <c r="T208" s="341" t="s">
        <v>594</v>
      </c>
      <c r="U208" s="341" t="s">
        <v>40</v>
      </c>
      <c r="V208" s="341" t="s">
        <v>983</v>
      </c>
      <c r="W208" s="341" t="s">
        <v>75</v>
      </c>
      <c r="X208" s="341">
        <f t="shared" si="3"/>
      </c>
    </row>
    <row r="209" spans="1:24" ht="77.25" customHeight="1" x14ac:dyDescent="0.2">
      <c r="A209" s="341" t="s">
        <v>632</v>
      </c>
      <c r="B209" s="341" t="s">
        <v>1527</v>
      </c>
      <c r="C209" s="341">
        <v>0</v>
      </c>
      <c r="D209" s="341">
        <v>0</v>
      </c>
      <c r="E209" s="341">
        <v>0</v>
      </c>
      <c r="F209" s="341">
        <v>0</v>
      </c>
      <c r="G209" s="341">
        <v>0</v>
      </c>
      <c r="H209" s="341">
        <v>1</v>
      </c>
      <c r="I209" s="341">
        <v>0</v>
      </c>
      <c r="J209" s="341">
        <v>1</v>
      </c>
      <c r="K209" s="341"/>
      <c r="L209" s="341" t="s">
        <v>591</v>
      </c>
      <c r="M209" s="341" t="s">
        <v>983</v>
      </c>
      <c r="N209" s="341" t="s">
        <v>1358</v>
      </c>
      <c r="O209" s="341" t="s">
        <v>592</v>
      </c>
      <c r="P209" s="341" t="s">
        <v>1529</v>
      </c>
      <c r="Q209" s="341" t="s">
        <v>1529</v>
      </c>
      <c r="R209" s="341"/>
      <c r="S209" s="341" t="s">
        <v>593</v>
      </c>
      <c r="T209" s="341" t="s">
        <v>594</v>
      </c>
      <c r="U209" s="341" t="s">
        <v>40</v>
      </c>
      <c r="V209" s="341" t="s">
        <v>983</v>
      </c>
      <c r="W209" s="341" t="s">
        <v>75</v>
      </c>
      <c r="X209" s="341">
        <f t="shared" si="3"/>
      </c>
    </row>
    <row r="210" spans="1:24" ht="77.25" customHeight="1" x14ac:dyDescent="0.2">
      <c r="A210" s="341" t="s">
        <v>634</v>
      </c>
      <c r="B210" s="341" t="s">
        <v>631</v>
      </c>
      <c r="C210" s="341">
        <v>0</v>
      </c>
      <c r="D210" s="341">
        <v>0</v>
      </c>
      <c r="E210" s="341">
        <v>0</v>
      </c>
      <c r="F210" s="341">
        <v>0</v>
      </c>
      <c r="G210" s="341">
        <v>0</v>
      </c>
      <c r="H210" s="341">
        <v>1</v>
      </c>
      <c r="I210" s="341">
        <v>0</v>
      </c>
      <c r="J210" s="341">
        <v>1</v>
      </c>
      <c r="K210" s="341"/>
      <c r="L210" s="341" t="s">
        <v>591</v>
      </c>
      <c r="M210" s="341" t="s">
        <v>983</v>
      </c>
      <c r="N210" s="341" t="s">
        <v>1358</v>
      </c>
      <c r="O210" s="341" t="s">
        <v>592</v>
      </c>
      <c r="P210" s="341" t="s">
        <v>592</v>
      </c>
      <c r="Q210" s="341" t="s">
        <v>592</v>
      </c>
      <c r="R210" s="341"/>
      <c r="S210" s="341" t="s">
        <v>593</v>
      </c>
      <c r="T210" s="341" t="s">
        <v>594</v>
      </c>
      <c r="U210" s="341" t="s">
        <v>40</v>
      </c>
      <c r="V210" s="341" t="s">
        <v>983</v>
      </c>
      <c r="W210" s="341" t="s">
        <v>75</v>
      </c>
      <c r="X210" s="341">
        <f t="shared" si="3"/>
      </c>
    </row>
    <row r="211" spans="1:24" ht="77.25" customHeight="1" x14ac:dyDescent="0.2">
      <c r="A211" s="341" t="s">
        <v>636</v>
      </c>
      <c r="B211" s="341" t="s">
        <v>633</v>
      </c>
      <c r="C211" s="341">
        <v>0</v>
      </c>
      <c r="D211" s="341">
        <v>0</v>
      </c>
      <c r="E211" s="341">
        <v>0</v>
      </c>
      <c r="F211" s="341">
        <v>0</v>
      </c>
      <c r="G211" s="341">
        <v>0</v>
      </c>
      <c r="H211" s="341">
        <v>1</v>
      </c>
      <c r="I211" s="341">
        <v>0</v>
      </c>
      <c r="J211" s="341">
        <v>1</v>
      </c>
      <c r="K211" s="341"/>
      <c r="L211" s="341" t="s">
        <v>591</v>
      </c>
      <c r="M211" s="341" t="s">
        <v>983</v>
      </c>
      <c r="N211" s="341" t="s">
        <v>1358</v>
      </c>
      <c r="O211" s="341" t="s">
        <v>592</v>
      </c>
      <c r="P211" s="341" t="s">
        <v>592</v>
      </c>
      <c r="Q211" s="341" t="s">
        <v>592</v>
      </c>
      <c r="R211" s="341"/>
      <c r="S211" s="341" t="s">
        <v>593</v>
      </c>
      <c r="T211" s="341" t="s">
        <v>594</v>
      </c>
      <c r="U211" s="341" t="s">
        <v>40</v>
      </c>
      <c r="V211" s="341" t="s">
        <v>983</v>
      </c>
      <c r="W211" s="341" t="s">
        <v>75</v>
      </c>
      <c r="X211" s="341">
        <f t="shared" si="3"/>
      </c>
    </row>
    <row r="212" spans="1:24" ht="77.25" customHeight="1" x14ac:dyDescent="0.2">
      <c r="A212" s="341" t="s">
        <v>638</v>
      </c>
      <c r="B212" s="341" t="s">
        <v>637</v>
      </c>
      <c r="C212" s="341">
        <v>0</v>
      </c>
      <c r="D212" s="341">
        <v>0</v>
      </c>
      <c r="E212" s="341">
        <v>0</v>
      </c>
      <c r="F212" s="341">
        <v>0</v>
      </c>
      <c r="G212" s="341">
        <v>0</v>
      </c>
      <c r="H212" s="341">
        <v>1</v>
      </c>
      <c r="I212" s="341">
        <v>0</v>
      </c>
      <c r="J212" s="341">
        <v>1</v>
      </c>
      <c r="K212" s="341"/>
      <c r="L212" s="341" t="s">
        <v>591</v>
      </c>
      <c r="M212" s="341" t="s">
        <v>983</v>
      </c>
      <c r="N212" s="341" t="s">
        <v>1358</v>
      </c>
      <c r="O212" s="341" t="s">
        <v>592</v>
      </c>
      <c r="P212" s="341" t="s">
        <v>592</v>
      </c>
      <c r="Q212" s="341" t="s">
        <v>592</v>
      </c>
      <c r="R212" s="341"/>
      <c r="S212" s="341" t="s">
        <v>593</v>
      </c>
      <c r="T212" s="341" t="s">
        <v>594</v>
      </c>
      <c r="U212" s="341" t="s">
        <v>40</v>
      </c>
      <c r="V212" s="341" t="s">
        <v>983</v>
      </c>
      <c r="W212" s="341" t="s">
        <v>75</v>
      </c>
      <c r="X212" s="341">
        <f t="shared" si="3"/>
      </c>
    </row>
    <row r="213" spans="1:24" ht="77.25" customHeight="1" x14ac:dyDescent="0.2">
      <c r="A213" s="341" t="s">
        <v>639</v>
      </c>
      <c r="B213" s="341" t="s">
        <v>640</v>
      </c>
      <c r="C213" s="341">
        <v>0</v>
      </c>
      <c r="D213" s="341">
        <v>0</v>
      </c>
      <c r="E213" s="341">
        <v>0</v>
      </c>
      <c r="F213" s="341">
        <v>0</v>
      </c>
      <c r="G213" s="341">
        <v>0</v>
      </c>
      <c r="H213" s="341">
        <v>1</v>
      </c>
      <c r="I213" s="341">
        <v>0</v>
      </c>
      <c r="J213" s="341">
        <v>1</v>
      </c>
      <c r="K213" s="341"/>
      <c r="L213" s="341" t="s">
        <v>591</v>
      </c>
      <c r="M213" s="341" t="s">
        <v>983</v>
      </c>
      <c r="N213" s="341" t="s">
        <v>1358</v>
      </c>
      <c r="O213" s="341" t="s">
        <v>592</v>
      </c>
      <c r="P213" s="341" t="s">
        <v>592</v>
      </c>
      <c r="Q213" s="341" t="s">
        <v>592</v>
      </c>
      <c r="R213" s="341"/>
      <c r="S213" s="341" t="s">
        <v>593</v>
      </c>
      <c r="T213" s="341" t="s">
        <v>594</v>
      </c>
      <c r="U213" s="341" t="s">
        <v>40</v>
      </c>
      <c r="V213" s="341" t="s">
        <v>983</v>
      </c>
      <c r="W213" s="341" t="s">
        <v>75</v>
      </c>
      <c r="X213" s="341">
        <f t="shared" si="3"/>
      </c>
    </row>
    <row r="214" spans="1:24" ht="77.25" customHeight="1" x14ac:dyDescent="0.2">
      <c r="A214" s="341" t="s">
        <v>641</v>
      </c>
      <c r="B214" s="341" t="s">
        <v>642</v>
      </c>
      <c r="C214" s="341">
        <v>0</v>
      </c>
      <c r="D214" s="341">
        <v>0</v>
      </c>
      <c r="E214" s="341">
        <v>0</v>
      </c>
      <c r="F214" s="341">
        <v>0</v>
      </c>
      <c r="G214" s="341">
        <v>0</v>
      </c>
      <c r="H214" s="341">
        <v>1</v>
      </c>
      <c r="I214" s="341">
        <v>0</v>
      </c>
      <c r="J214" s="341">
        <v>1</v>
      </c>
      <c r="K214" s="341"/>
      <c r="L214" s="341" t="s">
        <v>591</v>
      </c>
      <c r="M214" s="341" t="s">
        <v>983</v>
      </c>
      <c r="N214" s="341" t="s">
        <v>1358</v>
      </c>
      <c r="O214" s="341" t="s">
        <v>592</v>
      </c>
      <c r="P214" s="341" t="s">
        <v>592</v>
      </c>
      <c r="Q214" s="341" t="s">
        <v>592</v>
      </c>
      <c r="R214" s="341"/>
      <c r="S214" s="341" t="s">
        <v>593</v>
      </c>
      <c r="T214" s="341" t="s">
        <v>594</v>
      </c>
      <c r="U214" s="341" t="s">
        <v>40</v>
      </c>
      <c r="V214" s="341" t="s">
        <v>983</v>
      </c>
      <c r="W214" s="341" t="s">
        <v>75</v>
      </c>
      <c r="X214" s="341">
        <f t="shared" si="3"/>
      </c>
    </row>
    <row r="215" spans="1:24" ht="77.25" customHeight="1" x14ac:dyDescent="0.2">
      <c r="A215" s="341" t="s">
        <v>643</v>
      </c>
      <c r="B215" s="341" t="s">
        <v>635</v>
      </c>
      <c r="C215" s="341">
        <v>0</v>
      </c>
      <c r="D215" s="341">
        <v>0</v>
      </c>
      <c r="E215" s="341">
        <v>0</v>
      </c>
      <c r="F215" s="341">
        <v>0</v>
      </c>
      <c r="G215" s="341">
        <v>0</v>
      </c>
      <c r="H215" s="341">
        <v>1</v>
      </c>
      <c r="I215" s="341">
        <v>0</v>
      </c>
      <c r="J215" s="341">
        <v>1</v>
      </c>
      <c r="K215" s="341"/>
      <c r="L215" s="341" t="s">
        <v>591</v>
      </c>
      <c r="M215" s="341" t="s">
        <v>983</v>
      </c>
      <c r="N215" s="341" t="s">
        <v>1358</v>
      </c>
      <c r="O215" s="341" t="s">
        <v>592</v>
      </c>
      <c r="P215" s="341" t="s">
        <v>592</v>
      </c>
      <c r="Q215" s="341" t="s">
        <v>592</v>
      </c>
      <c r="R215" s="341"/>
      <c r="S215" s="341" t="s">
        <v>593</v>
      </c>
      <c r="T215" s="341" t="s">
        <v>594</v>
      </c>
      <c r="U215" s="341" t="s">
        <v>40</v>
      </c>
      <c r="V215" s="341" t="s">
        <v>983</v>
      </c>
      <c r="W215" s="341" t="s">
        <v>41</v>
      </c>
      <c r="X215" s="341">
        <f t="shared" si="3"/>
      </c>
    </row>
    <row r="216" spans="1:24" ht="60.75" customHeight="1" x14ac:dyDescent="0.2">
      <c r="A216" s="353" t="s">
        <v>644</v>
      </c>
      <c r="B216" s="353" t="s">
        <v>1016</v>
      </c>
      <c r="C216" s="341">
        <v>0</v>
      </c>
      <c r="D216" s="341">
        <v>0</v>
      </c>
      <c r="E216" s="341">
        <v>0</v>
      </c>
      <c r="F216" s="341">
        <v>0</v>
      </c>
      <c r="G216" s="341">
        <v>0</v>
      </c>
      <c r="H216" s="341">
        <v>1</v>
      </c>
      <c r="I216" s="341">
        <v>0</v>
      </c>
      <c r="J216" s="341">
        <v>1</v>
      </c>
      <c r="K216" s="341"/>
      <c r="L216" s="341" t="s">
        <v>147</v>
      </c>
      <c r="M216" s="341" t="s">
        <v>983</v>
      </c>
      <c r="N216" s="341" t="s">
        <v>1360</v>
      </c>
      <c r="O216" s="341" t="s">
        <v>645</v>
      </c>
      <c r="P216" s="341" t="s">
        <v>645</v>
      </c>
      <c r="Q216" s="341" t="s">
        <v>645</v>
      </c>
      <c r="R216" s="341"/>
      <c r="S216" s="341" t="s">
        <v>646</v>
      </c>
      <c r="T216" s="341" t="s">
        <v>647</v>
      </c>
      <c r="U216" s="341" t="s">
        <v>40</v>
      </c>
      <c r="V216" s="341" t="s">
        <v>983</v>
      </c>
      <c r="W216" s="341" t="s">
        <v>46</v>
      </c>
      <c r="X216" s="341">
        <f t="shared" si="3"/>
      </c>
    </row>
    <row r="217" spans="1:24" ht="60" x14ac:dyDescent="0.2">
      <c r="A217" s="353" t="s">
        <v>648</v>
      </c>
      <c r="B217" s="353" t="s">
        <v>1017</v>
      </c>
      <c r="C217" s="341">
        <v>0</v>
      </c>
      <c r="D217" s="341">
        <v>0</v>
      </c>
      <c r="E217" s="341">
        <v>0</v>
      </c>
      <c r="F217" s="341">
        <v>0</v>
      </c>
      <c r="G217" s="341">
        <v>0</v>
      </c>
      <c r="H217" s="341">
        <v>1</v>
      </c>
      <c r="I217" s="341">
        <v>0</v>
      </c>
      <c r="J217" s="341">
        <v>1</v>
      </c>
      <c r="K217" s="341"/>
      <c r="L217" s="341" t="s">
        <v>147</v>
      </c>
      <c r="M217" s="341" t="s">
        <v>983</v>
      </c>
      <c r="N217" s="341" t="s">
        <v>1360</v>
      </c>
      <c r="O217" s="341" t="s">
        <v>645</v>
      </c>
      <c r="P217" s="341" t="s">
        <v>645</v>
      </c>
      <c r="Q217" s="341" t="s">
        <v>645</v>
      </c>
      <c r="R217" s="341"/>
      <c r="S217" s="341" t="s">
        <v>646</v>
      </c>
      <c r="T217" s="341" t="s">
        <v>647</v>
      </c>
      <c r="U217" s="341" t="s">
        <v>148</v>
      </c>
      <c r="V217" s="341" t="s">
        <v>983</v>
      </c>
      <c r="W217" s="341" t="s">
        <v>46</v>
      </c>
      <c r="X217" s="341">
        <f t="shared" si="3"/>
      </c>
    </row>
    <row r="218" spans="1:24" ht="60" x14ac:dyDescent="0.2">
      <c r="A218" s="353" t="s">
        <v>650</v>
      </c>
      <c r="B218" s="353" t="s">
        <v>1184</v>
      </c>
      <c r="C218" s="341">
        <v>0</v>
      </c>
      <c r="D218" s="341">
        <v>0</v>
      </c>
      <c r="E218" s="341">
        <v>0</v>
      </c>
      <c r="F218" s="341">
        <v>0</v>
      </c>
      <c r="G218" s="341">
        <v>0</v>
      </c>
      <c r="H218" s="341">
        <v>1</v>
      </c>
      <c r="I218" s="341">
        <v>0</v>
      </c>
      <c r="J218" s="341">
        <v>1</v>
      </c>
      <c r="K218" s="341"/>
      <c r="L218" s="341" t="s">
        <v>147</v>
      </c>
      <c r="M218" s="341" t="s">
        <v>983</v>
      </c>
      <c r="N218" s="341" t="s">
        <v>1360</v>
      </c>
      <c r="O218" s="341" t="s">
        <v>645</v>
      </c>
      <c r="P218" s="341" t="s">
        <v>645</v>
      </c>
      <c r="Q218" s="341" t="s">
        <v>645</v>
      </c>
      <c r="R218" s="341"/>
      <c r="S218" s="341" t="s">
        <v>646</v>
      </c>
      <c r="T218" s="341" t="s">
        <v>647</v>
      </c>
      <c r="U218" s="341" t="s">
        <v>148</v>
      </c>
      <c r="V218" s="341" t="s">
        <v>983</v>
      </c>
      <c r="W218" s="341" t="s">
        <v>46</v>
      </c>
      <c r="X218" s="341">
        <f t="shared" si="3"/>
      </c>
    </row>
    <row r="219" spans="1:24" ht="60" x14ac:dyDescent="0.2">
      <c r="A219" s="341" t="s">
        <v>651</v>
      </c>
      <c r="B219" s="341" t="s">
        <v>1185</v>
      </c>
      <c r="C219" s="341">
        <v>0</v>
      </c>
      <c r="D219" s="341">
        <v>0</v>
      </c>
      <c r="E219" s="341">
        <v>0</v>
      </c>
      <c r="F219" s="341">
        <v>0</v>
      </c>
      <c r="G219" s="341">
        <v>0</v>
      </c>
      <c r="H219" s="341">
        <v>1</v>
      </c>
      <c r="I219" s="341">
        <v>0</v>
      </c>
      <c r="J219" s="341">
        <v>1</v>
      </c>
      <c r="K219" s="341"/>
      <c r="L219" s="341" t="s">
        <v>147</v>
      </c>
      <c r="M219" s="341" t="s">
        <v>983</v>
      </c>
      <c r="N219" s="341" t="s">
        <v>1360</v>
      </c>
      <c r="O219" s="341" t="s">
        <v>645</v>
      </c>
      <c r="P219" s="341" t="s">
        <v>645</v>
      </c>
      <c r="Q219" s="341" t="s">
        <v>645</v>
      </c>
      <c r="R219" s="341"/>
      <c r="S219" s="341" t="s">
        <v>646</v>
      </c>
      <c r="T219" s="341" t="s">
        <v>647</v>
      </c>
      <c r="U219" s="341" t="s">
        <v>40</v>
      </c>
      <c r="V219" s="341" t="s">
        <v>983</v>
      </c>
      <c r="W219" s="341" t="s">
        <v>75</v>
      </c>
      <c r="X219" s="341">
        <f t="shared" si="3"/>
      </c>
    </row>
    <row r="220" spans="1:24" ht="60" x14ac:dyDescent="0.2">
      <c r="A220" s="341" t="s">
        <v>653</v>
      </c>
      <c r="B220" s="341" t="s">
        <v>649</v>
      </c>
      <c r="C220" s="341">
        <v>0</v>
      </c>
      <c r="D220" s="341">
        <v>0</v>
      </c>
      <c r="E220" s="341">
        <v>0</v>
      </c>
      <c r="F220" s="341">
        <v>0</v>
      </c>
      <c r="G220" s="341">
        <v>0</v>
      </c>
      <c r="H220" s="341">
        <v>1</v>
      </c>
      <c r="I220" s="341">
        <v>0</v>
      </c>
      <c r="J220" s="341">
        <v>1</v>
      </c>
      <c r="K220" s="341"/>
      <c r="L220" s="341" t="s">
        <v>147</v>
      </c>
      <c r="M220" s="341" t="s">
        <v>983</v>
      </c>
      <c r="N220" s="341" t="s">
        <v>1360</v>
      </c>
      <c r="O220" s="341" t="s">
        <v>645</v>
      </c>
      <c r="P220" s="341" t="s">
        <v>645</v>
      </c>
      <c r="Q220" s="341" t="s">
        <v>645</v>
      </c>
      <c r="R220" s="341"/>
      <c r="S220" s="341" t="s">
        <v>646</v>
      </c>
      <c r="T220" s="341" t="s">
        <v>647</v>
      </c>
      <c r="U220" s="341" t="s">
        <v>40</v>
      </c>
      <c r="V220" s="341" t="s">
        <v>983</v>
      </c>
      <c r="W220" s="341" t="s">
        <v>75</v>
      </c>
      <c r="X220" s="341">
        <f t="shared" si="3"/>
      </c>
    </row>
    <row r="221" spans="1:24" ht="60" x14ac:dyDescent="0.2">
      <c r="A221" s="341" t="s">
        <v>654</v>
      </c>
      <c r="B221" s="341" t="s">
        <v>652</v>
      </c>
      <c r="C221" s="341">
        <v>0</v>
      </c>
      <c r="D221" s="341">
        <v>0</v>
      </c>
      <c r="E221" s="341">
        <v>0</v>
      </c>
      <c r="F221" s="341">
        <v>0</v>
      </c>
      <c r="G221" s="341">
        <v>0</v>
      </c>
      <c r="H221" s="341">
        <v>1</v>
      </c>
      <c r="I221" s="341">
        <v>0</v>
      </c>
      <c r="J221" s="341">
        <v>1</v>
      </c>
      <c r="K221" s="341"/>
      <c r="L221" s="341" t="s">
        <v>147</v>
      </c>
      <c r="M221" s="341" t="s">
        <v>983</v>
      </c>
      <c r="N221" s="341" t="s">
        <v>1360</v>
      </c>
      <c r="O221" s="341" t="s">
        <v>645</v>
      </c>
      <c r="P221" s="341" t="s">
        <v>645</v>
      </c>
      <c r="Q221" s="341" t="s">
        <v>645</v>
      </c>
      <c r="R221" s="341"/>
      <c r="S221" s="341" t="s">
        <v>646</v>
      </c>
      <c r="T221" s="341" t="s">
        <v>647</v>
      </c>
      <c r="U221" s="341" t="s">
        <v>40</v>
      </c>
      <c r="V221" s="341" t="s">
        <v>983</v>
      </c>
      <c r="W221" s="341" t="s">
        <v>75</v>
      </c>
      <c r="X221" s="341">
        <f t="shared" si="3"/>
      </c>
    </row>
    <row r="222" spans="1:24" ht="60" x14ac:dyDescent="0.2">
      <c r="A222" s="341" t="s">
        <v>656</v>
      </c>
      <c r="B222" s="341" t="s">
        <v>1432</v>
      </c>
      <c r="C222" s="341">
        <v>0</v>
      </c>
      <c r="D222" s="341">
        <v>0</v>
      </c>
      <c r="E222" s="341">
        <v>0</v>
      </c>
      <c r="F222" s="341">
        <v>0</v>
      </c>
      <c r="G222" s="341">
        <v>0</v>
      </c>
      <c r="H222" s="341">
        <v>1</v>
      </c>
      <c r="I222" s="341">
        <v>0</v>
      </c>
      <c r="J222" s="341">
        <v>1</v>
      </c>
      <c r="K222" s="341"/>
      <c r="L222" s="341" t="s">
        <v>147</v>
      </c>
      <c r="M222" s="341" t="s">
        <v>983</v>
      </c>
      <c r="N222" s="341" t="s">
        <v>1360</v>
      </c>
      <c r="O222" s="341" t="s">
        <v>645</v>
      </c>
      <c r="P222" s="341" t="s">
        <v>645</v>
      </c>
      <c r="Q222" s="341" t="s">
        <v>645</v>
      </c>
      <c r="R222" s="341"/>
      <c r="S222" s="341" t="s">
        <v>646</v>
      </c>
      <c r="T222" s="341" t="s">
        <v>647</v>
      </c>
      <c r="U222" s="341" t="s">
        <v>40</v>
      </c>
      <c r="V222" s="341" t="s">
        <v>983</v>
      </c>
      <c r="W222" s="341" t="s">
        <v>75</v>
      </c>
      <c r="X222" s="341">
        <f t="shared" si="3"/>
      </c>
    </row>
    <row r="223" spans="1:24" ht="60" x14ac:dyDescent="0.2">
      <c r="A223" s="341" t="s">
        <v>658</v>
      </c>
      <c r="B223" s="341" t="s">
        <v>655</v>
      </c>
      <c r="C223" s="341">
        <v>0</v>
      </c>
      <c r="D223" s="341">
        <v>0</v>
      </c>
      <c r="E223" s="341">
        <v>0</v>
      </c>
      <c r="F223" s="341">
        <v>0</v>
      </c>
      <c r="G223" s="341">
        <v>0</v>
      </c>
      <c r="H223" s="341">
        <v>1</v>
      </c>
      <c r="I223" s="341">
        <v>0</v>
      </c>
      <c r="J223" s="341">
        <v>1</v>
      </c>
      <c r="K223" s="341"/>
      <c r="L223" s="341" t="s">
        <v>147</v>
      </c>
      <c r="M223" s="341" t="s">
        <v>983</v>
      </c>
      <c r="N223" s="341" t="s">
        <v>1360</v>
      </c>
      <c r="O223" s="341" t="s">
        <v>645</v>
      </c>
      <c r="P223" s="341" t="s">
        <v>645</v>
      </c>
      <c r="Q223" s="341" t="s">
        <v>645</v>
      </c>
      <c r="R223" s="341"/>
      <c r="S223" s="341" t="s">
        <v>646</v>
      </c>
      <c r="T223" s="341" t="s">
        <v>647</v>
      </c>
      <c r="U223" s="341" t="s">
        <v>40</v>
      </c>
      <c r="V223" s="341" t="s">
        <v>983</v>
      </c>
      <c r="W223" s="341" t="s">
        <v>75</v>
      </c>
      <c r="X223" s="341">
        <f t="shared" si="3"/>
      </c>
    </row>
    <row r="224" spans="1:24" ht="60" x14ac:dyDescent="0.2">
      <c r="A224" s="341" t="s">
        <v>660</v>
      </c>
      <c r="B224" s="341" t="s">
        <v>657</v>
      </c>
      <c r="C224" s="341">
        <v>0</v>
      </c>
      <c r="D224" s="341">
        <v>0</v>
      </c>
      <c r="E224" s="341">
        <v>0</v>
      </c>
      <c r="F224" s="341">
        <v>0</v>
      </c>
      <c r="G224" s="341">
        <v>0</v>
      </c>
      <c r="H224" s="341">
        <v>1</v>
      </c>
      <c r="I224" s="341">
        <v>0</v>
      </c>
      <c r="J224" s="341">
        <v>1</v>
      </c>
      <c r="K224" s="341"/>
      <c r="L224" s="341" t="s">
        <v>1004</v>
      </c>
      <c r="M224" s="341" t="s">
        <v>983</v>
      </c>
      <c r="N224" s="341" t="s">
        <v>1360</v>
      </c>
      <c r="O224" s="341" t="s">
        <v>645</v>
      </c>
      <c r="P224" s="341" t="s">
        <v>645</v>
      </c>
      <c r="Q224" s="341" t="s">
        <v>645</v>
      </c>
      <c r="R224" s="341"/>
      <c r="S224" s="341" t="s">
        <v>646</v>
      </c>
      <c r="T224" s="341" t="s">
        <v>647</v>
      </c>
      <c r="U224" s="341" t="s">
        <v>1004</v>
      </c>
      <c r="V224" s="341" t="s">
        <v>983</v>
      </c>
      <c r="W224" s="341"/>
      <c r="X224" s="341"/>
    </row>
    <row r="225" spans="1:24" ht="60" x14ac:dyDescent="0.2">
      <c r="A225" s="341" t="s">
        <v>661</v>
      </c>
      <c r="B225" s="341" t="s">
        <v>659</v>
      </c>
      <c r="C225" s="341">
        <v>0</v>
      </c>
      <c r="D225" s="341">
        <v>0</v>
      </c>
      <c r="E225" s="341">
        <v>0</v>
      </c>
      <c r="F225" s="341">
        <v>0</v>
      </c>
      <c r="G225" s="341">
        <v>0</v>
      </c>
      <c r="H225" s="341">
        <v>1</v>
      </c>
      <c r="I225" s="341">
        <v>0</v>
      </c>
      <c r="J225" s="341">
        <v>1</v>
      </c>
      <c r="K225" s="341"/>
      <c r="L225" s="341" t="s">
        <v>1004</v>
      </c>
      <c r="M225" s="341" t="s">
        <v>983</v>
      </c>
      <c r="N225" s="341" t="s">
        <v>1360</v>
      </c>
      <c r="O225" s="341" t="s">
        <v>645</v>
      </c>
      <c r="P225" s="341" t="s">
        <v>645</v>
      </c>
      <c r="Q225" s="341" t="s">
        <v>645</v>
      </c>
      <c r="R225" s="341"/>
      <c r="S225" s="341" t="s">
        <v>646</v>
      </c>
      <c r="T225" s="341" t="s">
        <v>647</v>
      </c>
      <c r="U225" s="341" t="s">
        <v>1004</v>
      </c>
      <c r="V225" s="341" t="s">
        <v>983</v>
      </c>
      <c r="W225" s="341"/>
      <c r="X225" s="341"/>
    </row>
    <row r="226" spans="1:24" ht="60" x14ac:dyDescent="0.2">
      <c r="A226" s="341" t="s">
        <v>662</v>
      </c>
      <c r="B226" s="341" t="s">
        <v>1029</v>
      </c>
      <c r="C226" s="341">
        <v>0</v>
      </c>
      <c r="D226" s="341">
        <v>0</v>
      </c>
      <c r="E226" s="341">
        <v>0</v>
      </c>
      <c r="F226" s="341">
        <v>0</v>
      </c>
      <c r="G226" s="341">
        <v>0</v>
      </c>
      <c r="H226" s="341">
        <v>1</v>
      </c>
      <c r="I226" s="341">
        <v>0</v>
      </c>
      <c r="J226" s="341">
        <v>1</v>
      </c>
      <c r="K226" s="341"/>
      <c r="L226" s="341" t="s">
        <v>147</v>
      </c>
      <c r="M226" s="341" t="s">
        <v>983</v>
      </c>
      <c r="N226" s="341" t="s">
        <v>1360</v>
      </c>
      <c r="O226" s="341" t="s">
        <v>645</v>
      </c>
      <c r="P226" s="341" t="s">
        <v>645</v>
      </c>
      <c r="Q226" s="341" t="s">
        <v>645</v>
      </c>
      <c r="R226" s="341"/>
      <c r="S226" s="341" t="s">
        <v>646</v>
      </c>
      <c r="T226" s="341" t="s">
        <v>647</v>
      </c>
      <c r="U226" s="341" t="s">
        <v>40</v>
      </c>
      <c r="V226" s="341" t="s">
        <v>983</v>
      </c>
      <c r="W226" s="341" t="s">
        <v>41</v>
      </c>
      <c r="X226" s="341">
        <f t="shared" si="3"/>
      </c>
    </row>
    <row r="227" spans="1:24" ht="75" x14ac:dyDescent="0.2">
      <c r="A227" s="341" t="s">
        <v>663</v>
      </c>
      <c r="B227" s="341" t="s">
        <v>1118</v>
      </c>
      <c r="C227" s="341">
        <v>0</v>
      </c>
      <c r="D227" s="341">
        <v>0</v>
      </c>
      <c r="E227" s="341">
        <v>0</v>
      </c>
      <c r="F227" s="341">
        <v>0</v>
      </c>
      <c r="G227" s="341">
        <v>0</v>
      </c>
      <c r="H227" s="341">
        <v>1</v>
      </c>
      <c r="I227" s="341">
        <v>0</v>
      </c>
      <c r="J227" s="341">
        <v>1</v>
      </c>
      <c r="K227" s="341"/>
      <c r="L227" s="341" t="s">
        <v>1004</v>
      </c>
      <c r="M227" s="341" t="s">
        <v>983</v>
      </c>
      <c r="N227" s="341" t="s">
        <v>1360</v>
      </c>
      <c r="O227" s="341" t="s">
        <v>645</v>
      </c>
      <c r="P227" s="341" t="s">
        <v>645</v>
      </c>
      <c r="Q227" s="341" t="s">
        <v>645</v>
      </c>
      <c r="R227" s="341"/>
      <c r="S227" s="341" t="s">
        <v>646</v>
      </c>
      <c r="T227" s="341" t="s">
        <v>647</v>
      </c>
      <c r="U227" s="341" t="s">
        <v>1004</v>
      </c>
      <c r="V227" s="341" t="s">
        <v>983</v>
      </c>
      <c r="W227" s="341"/>
      <c r="X227" s="341"/>
    </row>
    <row r="228" spans="1:24" ht="235.5" customHeight="1" x14ac:dyDescent="0.2">
      <c r="A228" s="224" t="s">
        <v>664</v>
      </c>
      <c r="B228" s="341" t="s">
        <v>671</v>
      </c>
      <c r="C228" s="341">
        <v>0</v>
      </c>
      <c r="D228" s="341">
        <v>0</v>
      </c>
      <c r="E228" s="341">
        <v>0</v>
      </c>
      <c r="F228" s="341">
        <v>0</v>
      </c>
      <c r="G228" s="341">
        <v>0</v>
      </c>
      <c r="H228" s="341">
        <v>1</v>
      </c>
      <c r="I228" s="341">
        <v>0</v>
      </c>
      <c r="J228" s="341">
        <v>0</v>
      </c>
      <c r="K228" s="341"/>
      <c r="L228" s="341" t="s">
        <v>147</v>
      </c>
      <c r="M228" s="341" t="s">
        <v>975</v>
      </c>
      <c r="N228" s="341" t="s">
        <v>1361</v>
      </c>
      <c r="O228" s="341" t="s">
        <v>975</v>
      </c>
      <c r="P228" s="341" t="s">
        <v>672</v>
      </c>
      <c r="Q228" s="341" t="s">
        <v>673</v>
      </c>
      <c r="R228" s="341"/>
      <c r="S228" s="341" t="s">
        <v>1209</v>
      </c>
      <c r="T228" s="341" t="s">
        <v>1362</v>
      </c>
      <c r="U228" s="341" t="s">
        <v>40</v>
      </c>
      <c r="V228" s="341" t="s">
        <v>975</v>
      </c>
      <c r="W228" s="341" t="s">
        <v>75</v>
      </c>
      <c r="X228" s="341">
        <f t="shared" si="3"/>
      </c>
    </row>
    <row r="229" spans="1:24" ht="231" customHeight="1" x14ac:dyDescent="0.2">
      <c r="A229" s="224" t="s">
        <v>666</v>
      </c>
      <c r="B229" s="341" t="s">
        <v>675</v>
      </c>
      <c r="C229" s="341">
        <v>0</v>
      </c>
      <c r="D229" s="341">
        <v>0</v>
      </c>
      <c r="E229" s="341">
        <v>0</v>
      </c>
      <c r="F229" s="341">
        <v>0</v>
      </c>
      <c r="G229" s="341">
        <v>0</v>
      </c>
      <c r="H229" s="341">
        <v>1</v>
      </c>
      <c r="I229" s="341">
        <v>0</v>
      </c>
      <c r="J229" s="341">
        <v>0</v>
      </c>
      <c r="K229" s="341"/>
      <c r="L229" s="341" t="s">
        <v>147</v>
      </c>
      <c r="M229" s="341" t="s">
        <v>975</v>
      </c>
      <c r="N229" s="341" t="s">
        <v>1361</v>
      </c>
      <c r="O229" s="341" t="s">
        <v>975</v>
      </c>
      <c r="P229" s="341" t="s">
        <v>975</v>
      </c>
      <c r="Q229" s="341" t="s">
        <v>676</v>
      </c>
      <c r="R229" s="341"/>
      <c r="S229" s="341" t="s">
        <v>1397</v>
      </c>
      <c r="T229" s="341" t="s">
        <v>1363</v>
      </c>
      <c r="U229" s="341" t="s">
        <v>148</v>
      </c>
      <c r="V229" s="341" t="s">
        <v>975</v>
      </c>
      <c r="W229" s="341" t="s">
        <v>75</v>
      </c>
      <c r="X229" s="341">
        <f t="shared" si="3"/>
      </c>
    </row>
    <row r="230" spans="1:24" ht="210" x14ac:dyDescent="0.2">
      <c r="A230" s="224" t="s">
        <v>670</v>
      </c>
      <c r="B230" s="341" t="s">
        <v>678</v>
      </c>
      <c r="C230" s="341">
        <v>0</v>
      </c>
      <c r="D230" s="341">
        <v>0</v>
      </c>
      <c r="E230" s="341">
        <v>0</v>
      </c>
      <c r="F230" s="341">
        <v>0</v>
      </c>
      <c r="G230" s="341">
        <v>0</v>
      </c>
      <c r="H230" s="341">
        <v>1</v>
      </c>
      <c r="I230" s="341">
        <v>0</v>
      </c>
      <c r="J230" s="341">
        <v>0</v>
      </c>
      <c r="K230" s="341"/>
      <c r="L230" s="341" t="s">
        <v>147</v>
      </c>
      <c r="M230" s="341" t="s">
        <v>975</v>
      </c>
      <c r="N230" s="341" t="s">
        <v>1361</v>
      </c>
      <c r="O230" s="341" t="s">
        <v>975</v>
      </c>
      <c r="P230" s="341" t="s">
        <v>679</v>
      </c>
      <c r="Q230" s="341" t="s">
        <v>680</v>
      </c>
      <c r="R230" s="341"/>
      <c r="S230" s="341" t="s">
        <v>1186</v>
      </c>
      <c r="T230" s="341" t="s">
        <v>1364</v>
      </c>
      <c r="U230" s="341" t="s">
        <v>40</v>
      </c>
      <c r="V230" s="341" t="s">
        <v>975</v>
      </c>
      <c r="W230" s="341" t="s">
        <v>75</v>
      </c>
      <c r="X230" s="341">
        <f t="shared" si="3"/>
      </c>
    </row>
    <row r="231" spans="1:24" ht="228.75" customHeight="1" x14ac:dyDescent="0.2">
      <c r="A231" s="224" t="s">
        <v>674</v>
      </c>
      <c r="B231" s="341" t="s">
        <v>682</v>
      </c>
      <c r="C231" s="341">
        <v>0</v>
      </c>
      <c r="D231" s="341">
        <v>0</v>
      </c>
      <c r="E231" s="341">
        <v>0</v>
      </c>
      <c r="F231" s="341">
        <v>0</v>
      </c>
      <c r="G231" s="341">
        <v>0</v>
      </c>
      <c r="H231" s="341">
        <v>1</v>
      </c>
      <c r="I231" s="341">
        <v>0</v>
      </c>
      <c r="J231" s="341">
        <v>0</v>
      </c>
      <c r="K231" s="341"/>
      <c r="L231" s="341" t="s">
        <v>147</v>
      </c>
      <c r="M231" s="341" t="s">
        <v>975</v>
      </c>
      <c r="N231" s="341" t="s">
        <v>1361</v>
      </c>
      <c r="O231" s="341" t="s">
        <v>975</v>
      </c>
      <c r="P231" s="341" t="s">
        <v>975</v>
      </c>
      <c r="Q231" s="341" t="s">
        <v>676</v>
      </c>
      <c r="R231" s="341"/>
      <c r="S231" s="341" t="s">
        <v>1398</v>
      </c>
      <c r="T231" s="341" t="s">
        <v>1363</v>
      </c>
      <c r="U231" s="341" t="s">
        <v>148</v>
      </c>
      <c r="V231" s="341" t="s">
        <v>975</v>
      </c>
      <c r="W231" s="341" t="s">
        <v>75</v>
      </c>
      <c r="X231" s="341">
        <f t="shared" si="3"/>
      </c>
    </row>
    <row r="232" spans="1:24" ht="214.5" customHeight="1" x14ac:dyDescent="0.2">
      <c r="A232" s="224" t="s">
        <v>677</v>
      </c>
      <c r="B232" s="341" t="s">
        <v>1528</v>
      </c>
      <c r="C232" s="341">
        <v>0</v>
      </c>
      <c r="D232" s="341">
        <v>0</v>
      </c>
      <c r="E232" s="341">
        <v>0</v>
      </c>
      <c r="F232" s="341">
        <v>0</v>
      </c>
      <c r="G232" s="341">
        <v>0</v>
      </c>
      <c r="H232" s="341">
        <v>1</v>
      </c>
      <c r="I232" s="341">
        <v>0</v>
      </c>
      <c r="J232" s="341">
        <v>0</v>
      </c>
      <c r="K232" s="341"/>
      <c r="L232" s="341" t="s">
        <v>147</v>
      </c>
      <c r="M232" s="341" t="s">
        <v>975</v>
      </c>
      <c r="N232" s="341" t="s">
        <v>1361</v>
      </c>
      <c r="O232" s="341" t="s">
        <v>975</v>
      </c>
      <c r="P232" s="341" t="s">
        <v>975</v>
      </c>
      <c r="Q232" s="341" t="s">
        <v>684</v>
      </c>
      <c r="R232" s="341" t="s">
        <v>1526</v>
      </c>
      <c r="S232" s="341" t="s">
        <v>685</v>
      </c>
      <c r="T232" s="341" t="s">
        <v>1365</v>
      </c>
      <c r="U232" s="341" t="s">
        <v>40</v>
      </c>
      <c r="V232" s="341" t="s">
        <v>975</v>
      </c>
      <c r="W232" s="341" t="s">
        <v>75</v>
      </c>
      <c r="X232" s="341">
        <f t="shared" si="3"/>
      </c>
    </row>
    <row r="233" spans="1:24" ht="90" customHeight="1" x14ac:dyDescent="0.2">
      <c r="A233" s="224" t="s">
        <v>681</v>
      </c>
      <c r="B233" s="341" t="s">
        <v>1119</v>
      </c>
      <c r="C233" s="341">
        <v>0</v>
      </c>
      <c r="D233" s="341">
        <v>0</v>
      </c>
      <c r="E233" s="341">
        <v>0</v>
      </c>
      <c r="F233" s="341">
        <v>0</v>
      </c>
      <c r="G233" s="341">
        <v>0</v>
      </c>
      <c r="H233" s="341">
        <v>1</v>
      </c>
      <c r="I233" s="341">
        <v>0</v>
      </c>
      <c r="J233" s="341">
        <v>0</v>
      </c>
      <c r="K233" s="341"/>
      <c r="L233" s="341" t="s">
        <v>147</v>
      </c>
      <c r="M233" s="341" t="s">
        <v>975</v>
      </c>
      <c r="N233" s="341" t="s">
        <v>1361</v>
      </c>
      <c r="O233" s="341" t="s">
        <v>975</v>
      </c>
      <c r="P233" s="341" t="s">
        <v>399</v>
      </c>
      <c r="Q233" s="341" t="s">
        <v>400</v>
      </c>
      <c r="R233" s="341" t="s">
        <v>1526</v>
      </c>
      <c r="S233" s="341" t="s">
        <v>1433</v>
      </c>
      <c r="T233" s="341" t="s">
        <v>401</v>
      </c>
      <c r="U233" s="341" t="s">
        <v>40</v>
      </c>
      <c r="V233" s="341" t="s">
        <v>975</v>
      </c>
      <c r="W233" s="341" t="s">
        <v>75</v>
      </c>
      <c r="X233" s="341">
        <f t="shared" si="3"/>
      </c>
    </row>
    <row r="234" spans="1:24" ht="150" x14ac:dyDescent="0.2">
      <c r="A234" s="224" t="s">
        <v>683</v>
      </c>
      <c r="B234" s="341" t="s">
        <v>688</v>
      </c>
      <c r="C234" s="341">
        <v>0</v>
      </c>
      <c r="D234" s="341">
        <v>0</v>
      </c>
      <c r="E234" s="341">
        <v>0</v>
      </c>
      <c r="F234" s="341">
        <v>0</v>
      </c>
      <c r="G234" s="341">
        <v>0</v>
      </c>
      <c r="H234" s="341">
        <v>1</v>
      </c>
      <c r="I234" s="341">
        <v>0</v>
      </c>
      <c r="J234" s="341">
        <v>0</v>
      </c>
      <c r="K234" s="341"/>
      <c r="L234" s="341" t="s">
        <v>147</v>
      </c>
      <c r="M234" s="341" t="s">
        <v>975</v>
      </c>
      <c r="N234" s="341" t="s">
        <v>1361</v>
      </c>
      <c r="O234" s="341" t="s">
        <v>975</v>
      </c>
      <c r="P234" s="341" t="s">
        <v>689</v>
      </c>
      <c r="Q234" s="341" t="s">
        <v>690</v>
      </c>
      <c r="R234" s="341"/>
      <c r="S234" s="341" t="s">
        <v>1366</v>
      </c>
      <c r="T234" s="341" t="s">
        <v>691</v>
      </c>
      <c r="U234" s="341" t="s">
        <v>40</v>
      </c>
      <c r="V234" s="341" t="s">
        <v>975</v>
      </c>
      <c r="W234" s="341" t="s">
        <v>75</v>
      </c>
      <c r="X234" s="341">
        <f t="shared" si="3"/>
      </c>
    </row>
    <row r="235" spans="1:24" ht="135" x14ac:dyDescent="0.2">
      <c r="A235" s="224" t="s">
        <v>686</v>
      </c>
      <c r="B235" s="341" t="s">
        <v>693</v>
      </c>
      <c r="C235" s="341">
        <v>0</v>
      </c>
      <c r="D235" s="341">
        <v>0</v>
      </c>
      <c r="E235" s="341">
        <v>0</v>
      </c>
      <c r="F235" s="341">
        <v>0</v>
      </c>
      <c r="G235" s="341">
        <v>0</v>
      </c>
      <c r="H235" s="341">
        <v>1</v>
      </c>
      <c r="I235" s="341">
        <v>0</v>
      </c>
      <c r="J235" s="341">
        <v>0</v>
      </c>
      <c r="K235" s="341"/>
      <c r="L235" s="341" t="s">
        <v>1004</v>
      </c>
      <c r="M235" s="341" t="s">
        <v>975</v>
      </c>
      <c r="N235" s="341" t="s">
        <v>1361</v>
      </c>
      <c r="O235" s="341" t="s">
        <v>694</v>
      </c>
      <c r="P235" s="341" t="s">
        <v>694</v>
      </c>
      <c r="Q235" s="341" t="s">
        <v>694</v>
      </c>
      <c r="R235" s="341"/>
      <c r="S235" s="341" t="s">
        <v>1367</v>
      </c>
      <c r="T235" s="341" t="s">
        <v>695</v>
      </c>
      <c r="U235" s="341" t="s">
        <v>1004</v>
      </c>
      <c r="V235" s="341" t="s">
        <v>975</v>
      </c>
      <c r="W235" s="341"/>
      <c r="X235" s="341"/>
    </row>
    <row r="236" spans="1:24" ht="180" x14ac:dyDescent="0.2">
      <c r="A236" s="224" t="s">
        <v>687</v>
      </c>
      <c r="B236" s="341" t="s">
        <v>1215</v>
      </c>
      <c r="C236" s="341">
        <v>0</v>
      </c>
      <c r="D236" s="341">
        <v>0</v>
      </c>
      <c r="E236" s="341">
        <v>0</v>
      </c>
      <c r="F236" s="341">
        <v>0</v>
      </c>
      <c r="G236" s="341">
        <v>0</v>
      </c>
      <c r="H236" s="341">
        <v>1</v>
      </c>
      <c r="I236" s="341">
        <v>0</v>
      </c>
      <c r="J236" s="341">
        <v>0</v>
      </c>
      <c r="K236" s="341"/>
      <c r="L236" s="341" t="s">
        <v>1004</v>
      </c>
      <c r="M236" s="341" t="s">
        <v>975</v>
      </c>
      <c r="N236" s="341" t="s">
        <v>1361</v>
      </c>
      <c r="O236" s="341" t="s">
        <v>665</v>
      </c>
      <c r="P236" s="341" t="s">
        <v>665</v>
      </c>
      <c r="Q236" s="341" t="s">
        <v>665</v>
      </c>
      <c r="R236" s="341"/>
      <c r="S236" s="341" t="s">
        <v>1368</v>
      </c>
      <c r="T236" s="341" t="s">
        <v>1369</v>
      </c>
      <c r="U236" s="341" t="s">
        <v>1004</v>
      </c>
      <c r="V236" s="341" t="s">
        <v>975</v>
      </c>
      <c r="W236" s="341"/>
      <c r="X236" s="341"/>
    </row>
    <row r="237" spans="1:24" ht="195" x14ac:dyDescent="0.2">
      <c r="A237" s="224" t="s">
        <v>692</v>
      </c>
      <c r="B237" s="341" t="s">
        <v>667</v>
      </c>
      <c r="C237" s="341">
        <v>0</v>
      </c>
      <c r="D237" s="341">
        <v>0</v>
      </c>
      <c r="E237" s="341">
        <v>0</v>
      </c>
      <c r="F237" s="341">
        <v>0</v>
      </c>
      <c r="G237" s="341">
        <v>0</v>
      </c>
      <c r="H237" s="341">
        <v>1</v>
      </c>
      <c r="I237" s="341">
        <v>0</v>
      </c>
      <c r="J237" s="341">
        <v>0</v>
      </c>
      <c r="K237" s="341"/>
      <c r="L237" s="341" t="s">
        <v>147</v>
      </c>
      <c r="M237" s="341" t="s">
        <v>975</v>
      </c>
      <c r="N237" s="341" t="s">
        <v>1361</v>
      </c>
      <c r="O237" s="341" t="s">
        <v>975</v>
      </c>
      <c r="P237" s="341" t="s">
        <v>668</v>
      </c>
      <c r="Q237" s="341" t="s">
        <v>669</v>
      </c>
      <c r="R237" s="341"/>
      <c r="S237" s="341" t="s">
        <v>1370</v>
      </c>
      <c r="T237" s="341" t="s">
        <v>1210</v>
      </c>
      <c r="U237" s="341" t="s">
        <v>40</v>
      </c>
      <c r="V237" s="341" t="s">
        <v>975</v>
      </c>
      <c r="W237" s="341" t="s">
        <v>41</v>
      </c>
      <c r="X237" s="341">
        <f t="shared" si="3"/>
      </c>
    </row>
    <row r="238" spans="1:24" ht="90" x14ac:dyDescent="0.2">
      <c r="A238" s="342" t="s">
        <v>857</v>
      </c>
      <c r="B238" s="342" t="s">
        <v>1187</v>
      </c>
      <c r="C238" s="343">
        <v>0</v>
      </c>
      <c r="D238" s="343">
        <v>0</v>
      </c>
      <c r="E238" s="343">
        <v>0</v>
      </c>
      <c r="F238" s="343">
        <v>0</v>
      </c>
      <c r="G238" s="343">
        <v>0</v>
      </c>
      <c r="H238" s="343">
        <v>0</v>
      </c>
      <c r="I238" s="343">
        <v>0</v>
      </c>
      <c r="J238" s="343">
        <v>1</v>
      </c>
      <c r="K238" s="342" t="s">
        <v>22</v>
      </c>
      <c r="L238" s="342" t="s">
        <v>1004</v>
      </c>
      <c r="M238" s="344"/>
      <c r="N238" s="344"/>
      <c r="O238" s="342" t="s">
        <v>1544</v>
      </c>
      <c r="P238" s="342" t="s">
        <v>1544</v>
      </c>
      <c r="Q238" s="342" t="s">
        <v>1545</v>
      </c>
      <c r="R238" s="344"/>
      <c r="S238" s="342" t="s">
        <v>1546</v>
      </c>
      <c r="T238" s="342" t="s">
        <v>1547</v>
      </c>
      <c r="U238" s="342" t="s">
        <v>1004</v>
      </c>
      <c r="V238" s="344"/>
      <c r="W238" s="344"/>
      <c r="X238" s="343"/>
    </row>
    <row r="239" spans="1:24" ht="180" x14ac:dyDescent="0.2">
      <c r="A239" s="342" t="s">
        <v>858</v>
      </c>
      <c r="B239" s="342" t="s">
        <v>1188</v>
      </c>
      <c r="C239" s="343">
        <v>0</v>
      </c>
      <c r="D239" s="343">
        <v>0</v>
      </c>
      <c r="E239" s="343">
        <v>0</v>
      </c>
      <c r="F239" s="343">
        <v>0</v>
      </c>
      <c r="G239" s="343">
        <v>0</v>
      </c>
      <c r="H239" s="343">
        <v>0</v>
      </c>
      <c r="I239" s="343">
        <v>0</v>
      </c>
      <c r="J239" s="343">
        <v>1</v>
      </c>
      <c r="K239" s="342" t="s">
        <v>22</v>
      </c>
      <c r="L239" s="342" t="s">
        <v>1004</v>
      </c>
      <c r="M239" s="344"/>
      <c r="N239" s="344"/>
      <c r="O239" s="342" t="s">
        <v>1548</v>
      </c>
      <c r="P239" s="342" t="s">
        <v>1548</v>
      </c>
      <c r="Q239" s="342" t="s">
        <v>1549</v>
      </c>
      <c r="R239" s="344"/>
      <c r="S239" s="342" t="s">
        <v>1546</v>
      </c>
      <c r="T239" s="344"/>
      <c r="U239" s="342" t="s">
        <v>1004</v>
      </c>
      <c r="V239" s="344"/>
      <c r="W239" s="344"/>
      <c r="X239" s="343"/>
    </row>
    <row r="240" spans="1:24" ht="75" x14ac:dyDescent="0.2">
      <c r="A240" s="342" t="s">
        <v>859</v>
      </c>
      <c r="B240" s="342" t="s">
        <v>1189</v>
      </c>
      <c r="C240" s="343">
        <v>0</v>
      </c>
      <c r="D240" s="343">
        <v>0</v>
      </c>
      <c r="E240" s="343">
        <v>0</v>
      </c>
      <c r="F240" s="343">
        <v>0</v>
      </c>
      <c r="G240" s="343">
        <v>0</v>
      </c>
      <c r="H240" s="343">
        <v>0</v>
      </c>
      <c r="I240" s="343">
        <v>0</v>
      </c>
      <c r="J240" s="343">
        <v>1</v>
      </c>
      <c r="K240" s="342" t="s">
        <v>22</v>
      </c>
      <c r="L240" s="342" t="s">
        <v>1004</v>
      </c>
      <c r="M240" s="344"/>
      <c r="N240" s="344"/>
      <c r="O240" s="344"/>
      <c r="P240" s="344"/>
      <c r="Q240" s="342" t="s">
        <v>1550</v>
      </c>
      <c r="R240" s="344"/>
      <c r="S240" s="342" t="s">
        <v>1546</v>
      </c>
      <c r="T240" s="344"/>
      <c r="U240" s="342" t="s">
        <v>1004</v>
      </c>
      <c r="V240" s="344"/>
      <c r="W240" s="344"/>
      <c r="X240" s="343"/>
    </row>
    <row r="241" spans="1:24" ht="90" x14ac:dyDescent="0.2">
      <c r="A241" s="342" t="s">
        <v>860</v>
      </c>
      <c r="B241" s="342" t="s">
        <v>1190</v>
      </c>
      <c r="C241" s="343">
        <v>0</v>
      </c>
      <c r="D241" s="343">
        <v>0</v>
      </c>
      <c r="E241" s="343">
        <v>0</v>
      </c>
      <c r="F241" s="343">
        <v>0</v>
      </c>
      <c r="G241" s="343">
        <v>0</v>
      </c>
      <c r="H241" s="343">
        <v>0</v>
      </c>
      <c r="I241" s="343">
        <v>0</v>
      </c>
      <c r="J241" s="343">
        <v>1</v>
      </c>
      <c r="K241" s="342" t="s">
        <v>22</v>
      </c>
      <c r="L241" s="342" t="s">
        <v>1004</v>
      </c>
      <c r="M241" s="344"/>
      <c r="N241" s="344"/>
      <c r="O241" s="344"/>
      <c r="P241" s="344"/>
      <c r="Q241" s="342" t="s">
        <v>1551</v>
      </c>
      <c r="R241" s="344"/>
      <c r="S241" s="342" t="s">
        <v>1546</v>
      </c>
      <c r="T241" s="344"/>
      <c r="U241" s="342" t="s">
        <v>1004</v>
      </c>
      <c r="V241" s="344"/>
      <c r="W241" s="344"/>
      <c r="X241" s="343"/>
    </row>
    <row r="242" spans="1:24" ht="90" x14ac:dyDescent="0.2">
      <c r="A242" s="342" t="s">
        <v>861</v>
      </c>
      <c r="B242" s="342" t="s">
        <v>696</v>
      </c>
      <c r="C242" s="343">
        <v>0</v>
      </c>
      <c r="D242" s="343">
        <v>0</v>
      </c>
      <c r="E242" s="343">
        <v>0</v>
      </c>
      <c r="F242" s="343">
        <v>0</v>
      </c>
      <c r="G242" s="343">
        <v>0</v>
      </c>
      <c r="H242" s="343">
        <v>0</v>
      </c>
      <c r="I242" s="343">
        <v>0</v>
      </c>
      <c r="J242" s="343">
        <v>1</v>
      </c>
      <c r="K242" s="342"/>
      <c r="L242" s="342" t="s">
        <v>1004</v>
      </c>
      <c r="M242" s="344"/>
      <c r="N242" s="344"/>
      <c r="O242" s="342" t="s">
        <v>1552</v>
      </c>
      <c r="P242" s="342" t="s">
        <v>1552</v>
      </c>
      <c r="Q242" s="342" t="s">
        <v>1552</v>
      </c>
      <c r="R242" s="344"/>
      <c r="S242" s="344" t="s">
        <v>1814</v>
      </c>
      <c r="T242" s="344" t="s">
        <v>1815</v>
      </c>
      <c r="U242" s="345" t="s">
        <v>1004</v>
      </c>
      <c r="V242" s="344"/>
      <c r="W242" s="342"/>
      <c r="X242" s="343"/>
    </row>
    <row r="243" spans="1:24" ht="90" x14ac:dyDescent="0.2">
      <c r="A243" s="355" t="s">
        <v>697</v>
      </c>
      <c r="B243" s="355" t="s">
        <v>1120</v>
      </c>
      <c r="C243" s="343">
        <v>0</v>
      </c>
      <c r="D243" s="343">
        <v>0</v>
      </c>
      <c r="E243" s="343">
        <v>0</v>
      </c>
      <c r="F243" s="343">
        <v>0</v>
      </c>
      <c r="G243" s="343">
        <v>0</v>
      </c>
      <c r="H243" s="343">
        <v>0</v>
      </c>
      <c r="I243" s="343">
        <v>0</v>
      </c>
      <c r="J243" s="343">
        <v>1</v>
      </c>
      <c r="K243" s="344"/>
      <c r="L243" s="342" t="s">
        <v>9</v>
      </c>
      <c r="M243" s="344"/>
      <c r="N243" s="344"/>
      <c r="O243" s="344"/>
      <c r="P243" s="344"/>
      <c r="Q243" s="342" t="s">
        <v>1553</v>
      </c>
      <c r="R243" s="344"/>
      <c r="S243" s="342" t="s">
        <v>1887</v>
      </c>
      <c r="T243" s="344"/>
      <c r="U243" s="342" t="s">
        <v>148</v>
      </c>
      <c r="V243" s="344"/>
      <c r="W243" s="342" t="s">
        <v>46</v>
      </c>
      <c r="X243" s="343">
        <v>20</v>
      </c>
    </row>
    <row r="244" spans="1:24" ht="15.75" customHeight="1" x14ac:dyDescent="0.2">
      <c r="A244" s="342" t="s">
        <v>699</v>
      </c>
      <c r="B244" s="342" t="s">
        <v>1018</v>
      </c>
      <c r="C244" s="343">
        <v>0</v>
      </c>
      <c r="D244" s="343">
        <v>0</v>
      </c>
      <c r="E244" s="343">
        <v>0</v>
      </c>
      <c r="F244" s="343">
        <v>0</v>
      </c>
      <c r="G244" s="343">
        <v>0</v>
      </c>
      <c r="H244" s="343">
        <v>0</v>
      </c>
      <c r="I244" s="343">
        <v>0</v>
      </c>
      <c r="J244" s="343">
        <v>1</v>
      </c>
      <c r="K244" s="342"/>
      <c r="L244" s="342" t="s">
        <v>1004</v>
      </c>
      <c r="M244" s="344"/>
      <c r="N244" s="344"/>
      <c r="O244" s="342" t="s">
        <v>1554</v>
      </c>
      <c r="P244" s="342"/>
      <c r="Q244" s="342"/>
      <c r="R244" s="344"/>
      <c r="S244" s="344" t="s">
        <v>1816</v>
      </c>
      <c r="T244" s="344"/>
      <c r="U244" s="345" t="s">
        <v>1004</v>
      </c>
      <c r="V244" s="344"/>
      <c r="W244" s="342"/>
      <c r="X244" s="343"/>
    </row>
    <row r="245" spans="1:24" ht="90" x14ac:dyDescent="0.2">
      <c r="A245" s="342" t="s">
        <v>700</v>
      </c>
      <c r="B245" s="342" t="s">
        <v>1555</v>
      </c>
      <c r="C245" s="343">
        <v>0</v>
      </c>
      <c r="D245" s="343">
        <v>0</v>
      </c>
      <c r="E245" s="343">
        <v>0</v>
      </c>
      <c r="F245" s="343">
        <v>0</v>
      </c>
      <c r="G245" s="343">
        <v>0</v>
      </c>
      <c r="H245" s="343">
        <v>0</v>
      </c>
      <c r="I245" s="343">
        <v>0</v>
      </c>
      <c r="J245" s="343">
        <v>1</v>
      </c>
      <c r="K245" s="344"/>
      <c r="L245" s="342" t="s">
        <v>9</v>
      </c>
      <c r="M245" s="344"/>
      <c r="N245" s="344"/>
      <c r="O245" s="344"/>
      <c r="P245" s="344"/>
      <c r="Q245" s="342" t="s">
        <v>1556</v>
      </c>
      <c r="R245" s="344"/>
      <c r="S245" s="342" t="s">
        <v>1557</v>
      </c>
      <c r="T245" s="344"/>
      <c r="U245" s="342" t="s">
        <v>148</v>
      </c>
      <c r="V245" s="344"/>
      <c r="W245" s="342" t="s">
        <v>41</v>
      </c>
      <c r="X245" s="343">
        <v>5</v>
      </c>
    </row>
    <row r="246" spans="1:24" ht="75" x14ac:dyDescent="0.2">
      <c r="A246" s="342" t="s">
        <v>701</v>
      </c>
      <c r="B246" s="342" t="s">
        <v>698</v>
      </c>
      <c r="C246" s="343">
        <v>0</v>
      </c>
      <c r="D246" s="343">
        <v>0</v>
      </c>
      <c r="E246" s="343">
        <v>0</v>
      </c>
      <c r="F246" s="343">
        <v>0</v>
      </c>
      <c r="G246" s="343">
        <v>0</v>
      </c>
      <c r="H246" s="343">
        <v>0</v>
      </c>
      <c r="I246" s="343">
        <v>0</v>
      </c>
      <c r="J246" s="343">
        <v>1</v>
      </c>
      <c r="K246" s="344"/>
      <c r="L246" s="342" t="s">
        <v>9</v>
      </c>
      <c r="M246" s="344"/>
      <c r="N246" s="344"/>
      <c r="O246" s="342" t="s">
        <v>1558</v>
      </c>
      <c r="P246" s="342" t="s">
        <v>1559</v>
      </c>
      <c r="Q246" s="342" t="s">
        <v>1560</v>
      </c>
      <c r="R246" s="344"/>
      <c r="S246" s="342" t="s">
        <v>1561</v>
      </c>
      <c r="T246" s="344"/>
      <c r="U246" s="342" t="s">
        <v>40</v>
      </c>
      <c r="V246" s="344"/>
      <c r="W246" s="342" t="s">
        <v>41</v>
      </c>
      <c r="X246" s="343">
        <v>5</v>
      </c>
    </row>
    <row r="247" spans="1:24" ht="255" x14ac:dyDescent="0.2">
      <c r="A247" s="342" t="s">
        <v>702</v>
      </c>
      <c r="B247" s="342" t="s">
        <v>1019</v>
      </c>
      <c r="C247" s="343">
        <v>0</v>
      </c>
      <c r="D247" s="343">
        <v>0</v>
      </c>
      <c r="E247" s="343">
        <v>0</v>
      </c>
      <c r="F247" s="343">
        <v>0</v>
      </c>
      <c r="G247" s="343">
        <v>0</v>
      </c>
      <c r="H247" s="343">
        <v>0</v>
      </c>
      <c r="I247" s="343">
        <v>0</v>
      </c>
      <c r="J247" s="343">
        <v>1</v>
      </c>
      <c r="K247" s="342"/>
      <c r="L247" s="342" t="s">
        <v>1004</v>
      </c>
      <c r="M247" s="344"/>
      <c r="N247" s="344"/>
      <c r="O247" s="342" t="s">
        <v>1562</v>
      </c>
      <c r="P247" s="342" t="s">
        <v>1563</v>
      </c>
      <c r="Q247" s="342" t="s">
        <v>1564</v>
      </c>
      <c r="R247" s="342" t="s">
        <v>1565</v>
      </c>
      <c r="S247" s="342" t="s">
        <v>1566</v>
      </c>
      <c r="T247" s="344"/>
      <c r="U247" s="342" t="s">
        <v>1004</v>
      </c>
      <c r="V247" s="344"/>
      <c r="W247" s="344"/>
      <c r="X247" s="343"/>
    </row>
    <row r="248" spans="1:24" ht="165" x14ac:dyDescent="0.2">
      <c r="A248" s="342" t="s">
        <v>703</v>
      </c>
      <c r="B248" s="342" t="s">
        <v>973</v>
      </c>
      <c r="C248" s="343">
        <v>0</v>
      </c>
      <c r="D248" s="343">
        <v>0</v>
      </c>
      <c r="E248" s="343">
        <v>0</v>
      </c>
      <c r="F248" s="343">
        <v>0</v>
      </c>
      <c r="G248" s="343">
        <v>0</v>
      </c>
      <c r="H248" s="343">
        <v>0</v>
      </c>
      <c r="I248" s="343">
        <v>0</v>
      </c>
      <c r="J248" s="343">
        <v>1</v>
      </c>
      <c r="K248" s="342"/>
      <c r="L248" s="342" t="s">
        <v>1004</v>
      </c>
      <c r="M248" s="344"/>
      <c r="N248" s="344"/>
      <c r="O248" s="342" t="s">
        <v>1567</v>
      </c>
      <c r="P248" s="342" t="s">
        <v>1568</v>
      </c>
      <c r="Q248" s="342" t="s">
        <v>1569</v>
      </c>
      <c r="R248" s="342" t="s">
        <v>1565</v>
      </c>
      <c r="S248" s="342" t="s">
        <v>1570</v>
      </c>
      <c r="T248" s="342" t="s">
        <v>1571</v>
      </c>
      <c r="U248" s="342" t="s">
        <v>1004</v>
      </c>
      <c r="V248" s="344"/>
      <c r="W248" s="344"/>
      <c r="X248" s="343"/>
    </row>
    <row r="249" spans="1:24" ht="270" x14ac:dyDescent="0.2">
      <c r="A249" s="342" t="s">
        <v>704</v>
      </c>
      <c r="B249" s="342" t="s">
        <v>705</v>
      </c>
      <c r="C249" s="343">
        <v>0</v>
      </c>
      <c r="D249" s="343">
        <v>0</v>
      </c>
      <c r="E249" s="343">
        <v>0</v>
      </c>
      <c r="F249" s="343">
        <v>0</v>
      </c>
      <c r="G249" s="343">
        <v>0</v>
      </c>
      <c r="H249" s="343">
        <v>0</v>
      </c>
      <c r="I249" s="343">
        <v>0</v>
      </c>
      <c r="J249" s="343">
        <v>1</v>
      </c>
      <c r="K249" s="344"/>
      <c r="L249" s="342" t="s">
        <v>9</v>
      </c>
      <c r="M249" s="344"/>
      <c r="N249" s="344"/>
      <c r="O249" s="344"/>
      <c r="P249" s="342" t="s">
        <v>1572</v>
      </c>
      <c r="Q249" s="342" t="s">
        <v>1573</v>
      </c>
      <c r="R249" s="342" t="s">
        <v>1565</v>
      </c>
      <c r="S249" s="342" t="s">
        <v>1888</v>
      </c>
      <c r="T249" s="342" t="s">
        <v>1574</v>
      </c>
      <c r="U249" s="342" t="s">
        <v>40</v>
      </c>
      <c r="V249" s="344"/>
      <c r="W249" s="342" t="s">
        <v>75</v>
      </c>
      <c r="X249" s="343">
        <v>10</v>
      </c>
    </row>
    <row r="250" spans="1:24" ht="165" x14ac:dyDescent="0.2">
      <c r="A250" s="355" t="s">
        <v>706</v>
      </c>
      <c r="B250" s="355" t="s">
        <v>1434</v>
      </c>
      <c r="C250" s="343">
        <v>0</v>
      </c>
      <c r="D250" s="343">
        <v>0</v>
      </c>
      <c r="E250" s="343">
        <v>0</v>
      </c>
      <c r="F250" s="343">
        <v>0</v>
      </c>
      <c r="G250" s="343">
        <v>0</v>
      </c>
      <c r="H250" s="343">
        <v>0</v>
      </c>
      <c r="I250" s="343">
        <v>0</v>
      </c>
      <c r="J250" s="343">
        <v>1</v>
      </c>
      <c r="K250" s="344"/>
      <c r="L250" s="342" t="s">
        <v>9</v>
      </c>
      <c r="M250" s="344"/>
      <c r="N250" s="344"/>
      <c r="O250" s="342" t="s">
        <v>1575</v>
      </c>
      <c r="P250" s="342" t="s">
        <v>1576</v>
      </c>
      <c r="Q250" s="342" t="s">
        <v>1577</v>
      </c>
      <c r="R250" s="342" t="s">
        <v>1565</v>
      </c>
      <c r="S250" s="342" t="s">
        <v>1578</v>
      </c>
      <c r="T250" s="344"/>
      <c r="U250" s="342" t="s">
        <v>40</v>
      </c>
      <c r="V250" s="344"/>
      <c r="W250" s="342" t="s">
        <v>46</v>
      </c>
      <c r="X250" s="343">
        <v>20</v>
      </c>
    </row>
    <row r="251" spans="1:24" ht="328" x14ac:dyDescent="0.2">
      <c r="A251" s="342" t="s">
        <v>708</v>
      </c>
      <c r="B251" s="342" t="s">
        <v>1864</v>
      </c>
      <c r="C251" s="343">
        <v>0</v>
      </c>
      <c r="D251" s="343">
        <v>0</v>
      </c>
      <c r="E251" s="343">
        <v>0</v>
      </c>
      <c r="F251" s="343">
        <v>0</v>
      </c>
      <c r="G251" s="343">
        <v>0</v>
      </c>
      <c r="H251" s="343">
        <v>0</v>
      </c>
      <c r="I251" s="343">
        <v>0</v>
      </c>
      <c r="J251" s="343">
        <v>1</v>
      </c>
      <c r="K251" s="344"/>
      <c r="L251" s="342" t="s">
        <v>9</v>
      </c>
      <c r="M251" s="344"/>
      <c r="N251" s="344"/>
      <c r="O251" s="342" t="s">
        <v>1579</v>
      </c>
      <c r="P251" s="342" t="s">
        <v>1580</v>
      </c>
      <c r="Q251" s="342" t="s">
        <v>707</v>
      </c>
      <c r="R251" s="341" t="s">
        <v>1526</v>
      </c>
      <c r="S251" s="342" t="s">
        <v>1581</v>
      </c>
      <c r="T251" s="342" t="s">
        <v>1582</v>
      </c>
      <c r="U251" s="342" t="s">
        <v>40</v>
      </c>
      <c r="V251" s="344"/>
      <c r="W251" s="342" t="s">
        <v>41</v>
      </c>
      <c r="X251" s="343">
        <v>5</v>
      </c>
    </row>
    <row r="252" spans="1:24" ht="75" x14ac:dyDescent="0.2">
      <c r="A252" s="342" t="s">
        <v>709</v>
      </c>
      <c r="B252" s="342" t="s">
        <v>710</v>
      </c>
      <c r="C252" s="343">
        <v>0</v>
      </c>
      <c r="D252" s="343">
        <v>0</v>
      </c>
      <c r="E252" s="343">
        <v>0</v>
      </c>
      <c r="F252" s="343">
        <v>0</v>
      </c>
      <c r="G252" s="343">
        <v>0</v>
      </c>
      <c r="H252" s="343">
        <v>0</v>
      </c>
      <c r="I252" s="343">
        <v>0</v>
      </c>
      <c r="J252" s="343">
        <v>1</v>
      </c>
      <c r="K252" s="342"/>
      <c r="L252" s="342" t="s">
        <v>9</v>
      </c>
      <c r="M252" s="344"/>
      <c r="N252" s="344"/>
      <c r="O252" s="342" t="s">
        <v>1583</v>
      </c>
      <c r="P252" s="342" t="s">
        <v>429</v>
      </c>
      <c r="Q252" s="342" t="s">
        <v>1584</v>
      </c>
      <c r="R252" s="344"/>
      <c r="S252" s="342" t="s">
        <v>1585</v>
      </c>
      <c r="T252" s="342" t="s">
        <v>1586</v>
      </c>
      <c r="U252" s="342" t="s">
        <v>40</v>
      </c>
      <c r="V252" s="344"/>
      <c r="W252" s="344" t="s">
        <v>75</v>
      </c>
      <c r="X252" s="343">
        <v>10</v>
      </c>
    </row>
    <row r="253" spans="1:24" ht="60" x14ac:dyDescent="0.2">
      <c r="A253" s="342" t="s">
        <v>711</v>
      </c>
      <c r="B253" s="342" t="s">
        <v>712</v>
      </c>
      <c r="C253" s="343">
        <v>0</v>
      </c>
      <c r="D253" s="343">
        <v>0</v>
      </c>
      <c r="E253" s="343">
        <v>0</v>
      </c>
      <c r="F253" s="343">
        <v>0</v>
      </c>
      <c r="G253" s="343">
        <v>0</v>
      </c>
      <c r="H253" s="343">
        <v>0</v>
      </c>
      <c r="I253" s="343">
        <v>0</v>
      </c>
      <c r="J253" s="343">
        <v>1</v>
      </c>
      <c r="K253" s="344"/>
      <c r="L253" s="342" t="s">
        <v>9</v>
      </c>
      <c r="M253" s="344"/>
      <c r="N253" s="344"/>
      <c r="O253" s="342" t="s">
        <v>1587</v>
      </c>
      <c r="P253" s="342" t="s">
        <v>429</v>
      </c>
      <c r="Q253" s="342" t="s">
        <v>1588</v>
      </c>
      <c r="R253" s="344"/>
      <c r="S253" s="342" t="s">
        <v>1889</v>
      </c>
      <c r="T253" s="342" t="s">
        <v>1586</v>
      </c>
      <c r="U253" s="342" t="s">
        <v>40</v>
      </c>
      <c r="V253" s="344"/>
      <c r="W253" s="342" t="s">
        <v>41</v>
      </c>
      <c r="X253" s="343">
        <v>5</v>
      </c>
    </row>
    <row r="254" spans="1:24" ht="270" x14ac:dyDescent="0.15">
      <c r="A254" s="355" t="s">
        <v>713</v>
      </c>
      <c r="B254" s="355" t="s">
        <v>1473</v>
      </c>
      <c r="C254" s="343">
        <v>0</v>
      </c>
      <c r="D254" s="343">
        <v>0</v>
      </c>
      <c r="E254" s="343">
        <v>0</v>
      </c>
      <c r="F254" s="343">
        <v>0</v>
      </c>
      <c r="G254" s="343">
        <v>0</v>
      </c>
      <c r="H254" s="343">
        <v>0</v>
      </c>
      <c r="I254" s="343">
        <v>0</v>
      </c>
      <c r="J254" s="343">
        <v>1</v>
      </c>
      <c r="K254" s="342"/>
      <c r="L254" s="342" t="s">
        <v>9</v>
      </c>
      <c r="M254" s="344"/>
      <c r="N254" s="344"/>
      <c r="O254" s="346" t="s">
        <v>1589</v>
      </c>
      <c r="P254" s="346" t="s">
        <v>1589</v>
      </c>
      <c r="Q254" s="342" t="s">
        <v>1590</v>
      </c>
      <c r="R254" s="344"/>
      <c r="S254" s="342" t="s">
        <v>1591</v>
      </c>
      <c r="T254" s="342" t="s">
        <v>1592</v>
      </c>
      <c r="U254" s="342" t="s">
        <v>148</v>
      </c>
      <c r="V254" s="344"/>
      <c r="W254" s="342" t="s">
        <v>46</v>
      </c>
      <c r="X254" s="343">
        <v>20</v>
      </c>
    </row>
    <row r="255" spans="1:24" ht="314" x14ac:dyDescent="0.15">
      <c r="A255" s="355" t="s">
        <v>715</v>
      </c>
      <c r="B255" s="355" t="s">
        <v>1593</v>
      </c>
      <c r="C255" s="343">
        <v>0</v>
      </c>
      <c r="D255" s="343">
        <v>0</v>
      </c>
      <c r="E255" s="343">
        <v>0</v>
      </c>
      <c r="F255" s="343">
        <v>0</v>
      </c>
      <c r="G255" s="343">
        <v>0</v>
      </c>
      <c r="H255" s="343">
        <v>0</v>
      </c>
      <c r="I255" s="343">
        <v>0</v>
      </c>
      <c r="J255" s="343">
        <v>1</v>
      </c>
      <c r="K255" s="342"/>
      <c r="L255" s="342" t="s">
        <v>9</v>
      </c>
      <c r="M255" s="344"/>
      <c r="N255" s="344"/>
      <c r="O255" s="346" t="s">
        <v>1594</v>
      </c>
      <c r="P255" s="346" t="s">
        <v>1594</v>
      </c>
      <c r="Q255" s="342" t="s">
        <v>1595</v>
      </c>
      <c r="R255" s="344"/>
      <c r="S255" s="342" t="s">
        <v>1591</v>
      </c>
      <c r="T255" s="342" t="s">
        <v>1592</v>
      </c>
      <c r="U255" s="342" t="s">
        <v>148</v>
      </c>
      <c r="V255" s="344"/>
      <c r="W255" s="342" t="s">
        <v>46</v>
      </c>
      <c r="X255" s="343">
        <v>20</v>
      </c>
    </row>
    <row r="256" spans="1:24" ht="225" x14ac:dyDescent="0.15">
      <c r="A256" s="355" t="s">
        <v>717</v>
      </c>
      <c r="B256" s="355" t="s">
        <v>1020</v>
      </c>
      <c r="C256" s="343">
        <v>0</v>
      </c>
      <c r="D256" s="343">
        <v>0</v>
      </c>
      <c r="E256" s="343">
        <v>0</v>
      </c>
      <c r="F256" s="343">
        <v>0</v>
      </c>
      <c r="G256" s="343">
        <v>0</v>
      </c>
      <c r="H256" s="343">
        <v>0</v>
      </c>
      <c r="I256" s="343">
        <v>0</v>
      </c>
      <c r="J256" s="343">
        <v>1</v>
      </c>
      <c r="K256" s="342"/>
      <c r="L256" s="342" t="s">
        <v>9</v>
      </c>
      <c r="M256" s="344"/>
      <c r="N256" s="344"/>
      <c r="O256" s="346" t="s">
        <v>1596</v>
      </c>
      <c r="P256" s="346" t="s">
        <v>1596</v>
      </c>
      <c r="Q256" s="342" t="s">
        <v>1121</v>
      </c>
      <c r="R256" s="344"/>
      <c r="S256" s="344" t="s">
        <v>1817</v>
      </c>
      <c r="T256" s="344" t="s">
        <v>1818</v>
      </c>
      <c r="U256" s="342" t="s">
        <v>148</v>
      </c>
      <c r="V256" s="344"/>
      <c r="W256" s="342" t="s">
        <v>46</v>
      </c>
      <c r="X256" s="343">
        <v>20</v>
      </c>
    </row>
    <row r="257" spans="1:24" ht="165" x14ac:dyDescent="0.15">
      <c r="A257" s="342" t="s">
        <v>718</v>
      </c>
      <c r="B257" s="342" t="s">
        <v>1122</v>
      </c>
      <c r="C257" s="343">
        <v>0</v>
      </c>
      <c r="D257" s="343">
        <v>0</v>
      </c>
      <c r="E257" s="343">
        <v>0</v>
      </c>
      <c r="F257" s="343">
        <v>0</v>
      </c>
      <c r="G257" s="343">
        <v>0</v>
      </c>
      <c r="H257" s="343">
        <v>0</v>
      </c>
      <c r="I257" s="343">
        <v>0</v>
      </c>
      <c r="J257" s="343">
        <v>1</v>
      </c>
      <c r="K257" s="344"/>
      <c r="L257" s="342" t="s">
        <v>9</v>
      </c>
      <c r="M257" s="344"/>
      <c r="N257" s="344"/>
      <c r="O257" s="346" t="s">
        <v>1597</v>
      </c>
      <c r="P257" s="346" t="s">
        <v>1597</v>
      </c>
      <c r="Q257" s="346" t="s">
        <v>714</v>
      </c>
      <c r="R257" s="344"/>
      <c r="S257" s="344" t="s">
        <v>1819</v>
      </c>
      <c r="T257" s="344" t="s">
        <v>1820</v>
      </c>
      <c r="U257" s="342" t="s">
        <v>148</v>
      </c>
      <c r="V257" s="344"/>
      <c r="W257" s="342" t="s">
        <v>41</v>
      </c>
      <c r="X257" s="343">
        <v>5</v>
      </c>
    </row>
    <row r="258" spans="1:24" ht="120" x14ac:dyDescent="0.15">
      <c r="A258" s="342" t="s">
        <v>719</v>
      </c>
      <c r="B258" s="342" t="s">
        <v>972</v>
      </c>
      <c r="C258" s="343">
        <v>0</v>
      </c>
      <c r="D258" s="343">
        <v>0</v>
      </c>
      <c r="E258" s="343">
        <v>0</v>
      </c>
      <c r="F258" s="343">
        <v>0</v>
      </c>
      <c r="G258" s="343">
        <v>0</v>
      </c>
      <c r="H258" s="343">
        <v>0</v>
      </c>
      <c r="I258" s="343">
        <v>0</v>
      </c>
      <c r="J258" s="343">
        <v>1</v>
      </c>
      <c r="K258" s="344"/>
      <c r="L258" s="342" t="s">
        <v>9</v>
      </c>
      <c r="M258" s="344"/>
      <c r="N258" s="344"/>
      <c r="O258" s="346" t="s">
        <v>1598</v>
      </c>
      <c r="P258" s="346" t="s">
        <v>1598</v>
      </c>
      <c r="Q258" s="342" t="s">
        <v>1599</v>
      </c>
      <c r="R258" s="344"/>
      <c r="S258" s="342" t="s">
        <v>1600</v>
      </c>
      <c r="T258" s="344"/>
      <c r="U258" s="342" t="s">
        <v>148</v>
      </c>
      <c r="V258" s="344"/>
      <c r="W258" s="342" t="s">
        <v>41</v>
      </c>
      <c r="X258" s="343">
        <v>5</v>
      </c>
    </row>
    <row r="259" spans="1:24" ht="60" x14ac:dyDescent="0.15">
      <c r="A259" s="342" t="s">
        <v>720</v>
      </c>
      <c r="B259" s="342" t="s">
        <v>1123</v>
      </c>
      <c r="C259" s="343">
        <v>0</v>
      </c>
      <c r="D259" s="343">
        <v>0</v>
      </c>
      <c r="E259" s="343">
        <v>0</v>
      </c>
      <c r="F259" s="343">
        <v>0</v>
      </c>
      <c r="G259" s="343">
        <v>0</v>
      </c>
      <c r="H259" s="343">
        <v>0</v>
      </c>
      <c r="I259" s="343">
        <v>0</v>
      </c>
      <c r="J259" s="343">
        <v>1</v>
      </c>
      <c r="K259" s="344"/>
      <c r="L259" s="342" t="s">
        <v>9</v>
      </c>
      <c r="M259" s="344"/>
      <c r="N259" s="344"/>
      <c r="O259" s="346" t="s">
        <v>1601</v>
      </c>
      <c r="P259" s="346" t="s">
        <v>1601</v>
      </c>
      <c r="Q259" s="342" t="s">
        <v>722</v>
      </c>
      <c r="R259" s="344"/>
      <c r="S259" s="346" t="s">
        <v>1601</v>
      </c>
      <c r="T259" s="344"/>
      <c r="U259" s="342" t="s">
        <v>148</v>
      </c>
      <c r="V259" s="344"/>
      <c r="W259" s="342" t="s">
        <v>41</v>
      </c>
      <c r="X259" s="343">
        <v>5</v>
      </c>
    </row>
    <row r="260" spans="1:24" ht="75" x14ac:dyDescent="0.15">
      <c r="A260" s="342" t="s">
        <v>721</v>
      </c>
      <c r="B260" s="342" t="s">
        <v>1124</v>
      </c>
      <c r="C260" s="343">
        <v>0</v>
      </c>
      <c r="D260" s="343">
        <v>0</v>
      </c>
      <c r="E260" s="343">
        <v>0</v>
      </c>
      <c r="F260" s="343">
        <v>0</v>
      </c>
      <c r="G260" s="343">
        <v>0</v>
      </c>
      <c r="H260" s="343">
        <v>0</v>
      </c>
      <c r="I260" s="343">
        <v>0</v>
      </c>
      <c r="J260" s="343">
        <v>1</v>
      </c>
      <c r="K260" s="344"/>
      <c r="L260" s="342" t="s">
        <v>9</v>
      </c>
      <c r="M260" s="344"/>
      <c r="N260" s="344"/>
      <c r="O260" s="346" t="s">
        <v>1602</v>
      </c>
      <c r="P260" s="346" t="s">
        <v>1602</v>
      </c>
      <c r="Q260" s="342" t="s">
        <v>1125</v>
      </c>
      <c r="R260" s="344"/>
      <c r="S260" s="342" t="s">
        <v>1603</v>
      </c>
      <c r="T260" s="344"/>
      <c r="U260" s="342" t="s">
        <v>148</v>
      </c>
      <c r="V260" s="344"/>
      <c r="W260" s="342" t="s">
        <v>41</v>
      </c>
      <c r="X260" s="343">
        <v>5</v>
      </c>
    </row>
    <row r="261" spans="1:24" ht="75" x14ac:dyDescent="0.15">
      <c r="A261" s="342" t="s">
        <v>723</v>
      </c>
      <c r="B261" s="342" t="s">
        <v>716</v>
      </c>
      <c r="C261" s="343">
        <v>0</v>
      </c>
      <c r="D261" s="343">
        <v>0</v>
      </c>
      <c r="E261" s="343">
        <v>0</v>
      </c>
      <c r="F261" s="343">
        <v>0</v>
      </c>
      <c r="G261" s="343">
        <v>0</v>
      </c>
      <c r="H261" s="343">
        <v>0</v>
      </c>
      <c r="I261" s="343">
        <v>0</v>
      </c>
      <c r="J261" s="343">
        <v>1</v>
      </c>
      <c r="K261" s="342"/>
      <c r="L261" s="342" t="s">
        <v>1004</v>
      </c>
      <c r="M261" s="344"/>
      <c r="N261" s="344"/>
      <c r="O261" s="347"/>
      <c r="P261" s="342" t="s">
        <v>1604</v>
      </c>
      <c r="Q261" s="344"/>
      <c r="R261" s="344"/>
      <c r="S261" s="342" t="s">
        <v>1605</v>
      </c>
      <c r="T261" s="344"/>
      <c r="U261" s="342" t="s">
        <v>1004</v>
      </c>
      <c r="V261" s="344"/>
      <c r="W261" s="342"/>
      <c r="X261" s="343"/>
    </row>
    <row r="262" spans="1:24" ht="180" x14ac:dyDescent="0.15">
      <c r="A262" s="342" t="s">
        <v>724</v>
      </c>
      <c r="B262" s="342" t="s">
        <v>725</v>
      </c>
      <c r="C262" s="343">
        <v>0</v>
      </c>
      <c r="D262" s="343">
        <v>0</v>
      </c>
      <c r="E262" s="343">
        <v>0</v>
      </c>
      <c r="F262" s="343">
        <v>0</v>
      </c>
      <c r="G262" s="343">
        <v>0</v>
      </c>
      <c r="H262" s="343">
        <v>0</v>
      </c>
      <c r="I262" s="343">
        <v>0</v>
      </c>
      <c r="J262" s="343">
        <v>1</v>
      </c>
      <c r="K262" s="344"/>
      <c r="L262" s="342" t="s">
        <v>9</v>
      </c>
      <c r="M262" s="344"/>
      <c r="N262" s="344"/>
      <c r="O262" s="347"/>
      <c r="P262" s="342" t="s">
        <v>1606</v>
      </c>
      <c r="Q262" s="342" t="s">
        <v>726</v>
      </c>
      <c r="R262" s="344"/>
      <c r="S262" s="342" t="s">
        <v>1607</v>
      </c>
      <c r="T262" s="348" t="s">
        <v>1608</v>
      </c>
      <c r="U262" s="342" t="s">
        <v>40</v>
      </c>
      <c r="V262" s="344"/>
      <c r="W262" s="342" t="s">
        <v>41</v>
      </c>
      <c r="X262" s="343">
        <v>5</v>
      </c>
    </row>
    <row r="263" spans="1:24" ht="195" x14ac:dyDescent="0.2">
      <c r="A263" s="342" t="s">
        <v>727</v>
      </c>
      <c r="B263" s="342" t="s">
        <v>1126</v>
      </c>
      <c r="C263" s="343">
        <v>0</v>
      </c>
      <c r="D263" s="343">
        <v>0</v>
      </c>
      <c r="E263" s="343">
        <v>0</v>
      </c>
      <c r="F263" s="343">
        <v>0</v>
      </c>
      <c r="G263" s="343">
        <v>0</v>
      </c>
      <c r="H263" s="343">
        <v>0</v>
      </c>
      <c r="I263" s="343">
        <v>0</v>
      </c>
      <c r="J263" s="343">
        <v>1</v>
      </c>
      <c r="K263" s="344"/>
      <c r="L263" s="342" t="s">
        <v>9</v>
      </c>
      <c r="M263" s="344"/>
      <c r="N263" s="344"/>
      <c r="O263" s="342" t="s">
        <v>1609</v>
      </c>
      <c r="P263" s="342" t="s">
        <v>728</v>
      </c>
      <c r="Q263" s="342" t="s">
        <v>729</v>
      </c>
      <c r="R263" s="344"/>
      <c r="S263" s="342" t="s">
        <v>1610</v>
      </c>
      <c r="T263" s="344"/>
      <c r="U263" s="342" t="s">
        <v>40</v>
      </c>
      <c r="V263" s="344"/>
      <c r="W263" s="342" t="s">
        <v>41</v>
      </c>
      <c r="X263" s="343">
        <v>5</v>
      </c>
    </row>
    <row r="264" spans="1:24" ht="105" x14ac:dyDescent="0.2">
      <c r="A264" s="342" t="s">
        <v>730</v>
      </c>
      <c r="B264" s="342" t="s">
        <v>515</v>
      </c>
      <c r="C264" s="343">
        <v>0</v>
      </c>
      <c r="D264" s="343">
        <v>0</v>
      </c>
      <c r="E264" s="343">
        <v>0</v>
      </c>
      <c r="F264" s="343">
        <v>0</v>
      </c>
      <c r="G264" s="343">
        <v>0</v>
      </c>
      <c r="H264" s="343">
        <v>0</v>
      </c>
      <c r="I264" s="343">
        <v>0</v>
      </c>
      <c r="J264" s="343">
        <v>1</v>
      </c>
      <c r="K264" s="344"/>
      <c r="L264" s="342" t="s">
        <v>9</v>
      </c>
      <c r="M264" s="344"/>
      <c r="N264" s="344"/>
      <c r="O264" s="344"/>
      <c r="P264" s="342" t="s">
        <v>731</v>
      </c>
      <c r="Q264" s="342" t="s">
        <v>1611</v>
      </c>
      <c r="R264" s="344"/>
      <c r="S264" s="342" t="s">
        <v>1612</v>
      </c>
      <c r="T264" s="342" t="s">
        <v>1613</v>
      </c>
      <c r="U264" s="342" t="s">
        <v>40</v>
      </c>
      <c r="V264" s="344"/>
      <c r="W264" s="342" t="s">
        <v>75</v>
      </c>
      <c r="X264" s="343">
        <v>10</v>
      </c>
    </row>
    <row r="265" spans="1:24" ht="90" x14ac:dyDescent="0.2">
      <c r="A265" s="342" t="s">
        <v>732</v>
      </c>
      <c r="B265" s="342" t="s">
        <v>733</v>
      </c>
      <c r="C265" s="343">
        <v>0</v>
      </c>
      <c r="D265" s="343">
        <v>0</v>
      </c>
      <c r="E265" s="343">
        <v>0</v>
      </c>
      <c r="F265" s="343">
        <v>0</v>
      </c>
      <c r="G265" s="343">
        <v>0</v>
      </c>
      <c r="H265" s="343">
        <v>0</v>
      </c>
      <c r="I265" s="343">
        <v>0</v>
      </c>
      <c r="J265" s="343">
        <v>1</v>
      </c>
      <c r="K265" s="344"/>
      <c r="L265" s="342" t="s">
        <v>9</v>
      </c>
      <c r="M265" s="344"/>
      <c r="N265" s="344"/>
      <c r="O265" s="342" t="s">
        <v>1614</v>
      </c>
      <c r="P265" s="342" t="s">
        <v>1615</v>
      </c>
      <c r="Q265" s="344"/>
      <c r="R265" s="344"/>
      <c r="S265" s="342" t="s">
        <v>1616</v>
      </c>
      <c r="T265" s="342" t="s">
        <v>1890</v>
      </c>
      <c r="U265" s="342" t="s">
        <v>40</v>
      </c>
      <c r="V265" s="344"/>
      <c r="W265" s="342" t="s">
        <v>41</v>
      </c>
      <c r="X265" s="343">
        <v>5</v>
      </c>
    </row>
    <row r="266" spans="1:24" ht="105" x14ac:dyDescent="0.2">
      <c r="A266" s="342" t="s">
        <v>734</v>
      </c>
      <c r="B266" s="342" t="s">
        <v>735</v>
      </c>
      <c r="C266" s="343">
        <v>0</v>
      </c>
      <c r="D266" s="343">
        <v>0</v>
      </c>
      <c r="E266" s="343">
        <v>0</v>
      </c>
      <c r="F266" s="343">
        <v>0</v>
      </c>
      <c r="G266" s="343">
        <v>0</v>
      </c>
      <c r="H266" s="343">
        <v>0</v>
      </c>
      <c r="I266" s="343">
        <v>0</v>
      </c>
      <c r="J266" s="343">
        <v>1</v>
      </c>
      <c r="K266" s="344"/>
      <c r="L266" s="342" t="s">
        <v>9</v>
      </c>
      <c r="M266" s="344"/>
      <c r="N266" s="344"/>
      <c r="O266" s="342" t="s">
        <v>1617</v>
      </c>
      <c r="P266" s="342" t="s">
        <v>1618</v>
      </c>
      <c r="Q266" s="344"/>
      <c r="R266" s="344"/>
      <c r="S266" s="342" t="s">
        <v>1619</v>
      </c>
      <c r="T266" s="342" t="s">
        <v>1620</v>
      </c>
      <c r="U266" s="342" t="s">
        <v>40</v>
      </c>
      <c r="V266" s="344"/>
      <c r="W266" s="342" t="s">
        <v>41</v>
      </c>
      <c r="X266" s="343">
        <v>5</v>
      </c>
    </row>
    <row r="267" spans="1:24" ht="225" x14ac:dyDescent="0.2">
      <c r="A267" s="355" t="s">
        <v>736</v>
      </c>
      <c r="B267" s="355" t="s">
        <v>1021</v>
      </c>
      <c r="C267" s="343">
        <v>0</v>
      </c>
      <c r="D267" s="343">
        <v>0</v>
      </c>
      <c r="E267" s="343">
        <v>0</v>
      </c>
      <c r="F267" s="343">
        <v>0</v>
      </c>
      <c r="G267" s="343">
        <v>0</v>
      </c>
      <c r="H267" s="343">
        <v>0</v>
      </c>
      <c r="I267" s="343">
        <v>0</v>
      </c>
      <c r="J267" s="343">
        <v>1</v>
      </c>
      <c r="K267" s="344"/>
      <c r="L267" s="342" t="s">
        <v>9</v>
      </c>
      <c r="M267" s="344"/>
      <c r="N267" s="344"/>
      <c r="O267" s="342" t="s">
        <v>1621</v>
      </c>
      <c r="P267" s="342" t="s">
        <v>1622</v>
      </c>
      <c r="Q267" s="342" t="s">
        <v>1623</v>
      </c>
      <c r="R267" s="344"/>
      <c r="S267" s="342" t="s">
        <v>1624</v>
      </c>
      <c r="T267" s="344"/>
      <c r="U267" s="342" t="s">
        <v>40</v>
      </c>
      <c r="V267" s="344"/>
      <c r="W267" s="342" t="s">
        <v>46</v>
      </c>
      <c r="X267" s="343">
        <v>20</v>
      </c>
    </row>
    <row r="268" spans="1:24" ht="105" x14ac:dyDescent="0.2">
      <c r="A268" s="342" t="s">
        <v>737</v>
      </c>
      <c r="B268" s="342" t="s">
        <v>738</v>
      </c>
      <c r="C268" s="343">
        <v>0</v>
      </c>
      <c r="D268" s="343">
        <v>0</v>
      </c>
      <c r="E268" s="343">
        <v>0</v>
      </c>
      <c r="F268" s="343">
        <v>0</v>
      </c>
      <c r="G268" s="343">
        <v>0</v>
      </c>
      <c r="H268" s="343">
        <v>0</v>
      </c>
      <c r="I268" s="343">
        <v>0</v>
      </c>
      <c r="J268" s="343">
        <v>1</v>
      </c>
      <c r="K268" s="344"/>
      <c r="L268" s="342" t="s">
        <v>9</v>
      </c>
      <c r="M268" s="344"/>
      <c r="N268" s="344"/>
      <c r="O268" s="344"/>
      <c r="P268" s="342" t="s">
        <v>739</v>
      </c>
      <c r="Q268" s="342" t="s">
        <v>1625</v>
      </c>
      <c r="R268" s="344"/>
      <c r="S268" s="342" t="s">
        <v>1626</v>
      </c>
      <c r="T268" s="342" t="s">
        <v>1627</v>
      </c>
      <c r="U268" s="342" t="s">
        <v>40</v>
      </c>
      <c r="V268" s="344"/>
      <c r="W268" s="342" t="s">
        <v>41</v>
      </c>
      <c r="X268" s="343">
        <v>5</v>
      </c>
    </row>
    <row r="269" spans="1:24" ht="180" x14ac:dyDescent="0.2">
      <c r="A269" s="342" t="s">
        <v>740</v>
      </c>
      <c r="B269" s="342" t="s">
        <v>741</v>
      </c>
      <c r="C269" s="343">
        <v>0</v>
      </c>
      <c r="D269" s="343">
        <v>0</v>
      </c>
      <c r="E269" s="343">
        <v>0</v>
      </c>
      <c r="F269" s="343">
        <v>0</v>
      </c>
      <c r="G269" s="343">
        <v>0</v>
      </c>
      <c r="H269" s="343">
        <v>0</v>
      </c>
      <c r="I269" s="343">
        <v>0</v>
      </c>
      <c r="J269" s="343">
        <v>1</v>
      </c>
      <c r="K269" s="344"/>
      <c r="L269" s="342" t="s">
        <v>9</v>
      </c>
      <c r="M269" s="344"/>
      <c r="N269" s="344"/>
      <c r="O269" s="344"/>
      <c r="P269" s="342" t="s">
        <v>742</v>
      </c>
      <c r="Q269" s="342" t="s">
        <v>1623</v>
      </c>
      <c r="R269" s="341" t="s">
        <v>1526</v>
      </c>
      <c r="S269" s="342" t="s">
        <v>1628</v>
      </c>
      <c r="T269" s="342" t="s">
        <v>1629</v>
      </c>
      <c r="U269" s="342" t="s">
        <v>40</v>
      </c>
      <c r="V269" s="344"/>
      <c r="W269" s="342" t="s">
        <v>41</v>
      </c>
      <c r="X269" s="343">
        <v>5</v>
      </c>
    </row>
    <row r="270" spans="1:24" ht="195" x14ac:dyDescent="0.2">
      <c r="A270" s="342" t="s">
        <v>743</v>
      </c>
      <c r="B270" s="342" t="s">
        <v>974</v>
      </c>
      <c r="C270" s="343">
        <v>0</v>
      </c>
      <c r="D270" s="343">
        <v>0</v>
      </c>
      <c r="E270" s="343">
        <v>0</v>
      </c>
      <c r="F270" s="343">
        <v>0</v>
      </c>
      <c r="G270" s="343">
        <v>0</v>
      </c>
      <c r="H270" s="343">
        <v>0</v>
      </c>
      <c r="I270" s="343">
        <v>0</v>
      </c>
      <c r="J270" s="343">
        <v>1</v>
      </c>
      <c r="K270" s="344"/>
      <c r="L270" s="342" t="s">
        <v>9</v>
      </c>
      <c r="M270" s="344"/>
      <c r="N270" s="344"/>
      <c r="O270" s="342" t="s">
        <v>1630</v>
      </c>
      <c r="P270" s="342" t="s">
        <v>1630</v>
      </c>
      <c r="Q270" s="342" t="s">
        <v>1631</v>
      </c>
      <c r="R270" s="344"/>
      <c r="S270" s="342" t="s">
        <v>1632</v>
      </c>
      <c r="T270" s="342" t="s">
        <v>1633</v>
      </c>
      <c r="U270" s="342" t="s">
        <v>148</v>
      </c>
      <c r="V270" s="344"/>
      <c r="W270" s="342" t="s">
        <v>41</v>
      </c>
      <c r="X270" s="343">
        <v>5</v>
      </c>
    </row>
    <row r="271" spans="1:24" ht="195" x14ac:dyDescent="0.15">
      <c r="A271" s="342" t="s">
        <v>744</v>
      </c>
      <c r="B271" s="342" t="s">
        <v>745</v>
      </c>
      <c r="C271" s="343">
        <v>0</v>
      </c>
      <c r="D271" s="343">
        <v>0</v>
      </c>
      <c r="E271" s="343">
        <v>0</v>
      </c>
      <c r="F271" s="343">
        <v>0</v>
      </c>
      <c r="G271" s="343">
        <v>0</v>
      </c>
      <c r="H271" s="343">
        <v>0</v>
      </c>
      <c r="I271" s="343">
        <v>0</v>
      </c>
      <c r="J271" s="343">
        <v>1</v>
      </c>
      <c r="K271" s="344"/>
      <c r="L271" s="342" t="s">
        <v>9</v>
      </c>
      <c r="M271" s="344"/>
      <c r="N271" s="344"/>
      <c r="O271" s="344"/>
      <c r="P271" s="342" t="s">
        <v>1634</v>
      </c>
      <c r="Q271" s="342" t="s">
        <v>1635</v>
      </c>
      <c r="R271" s="342" t="s">
        <v>1565</v>
      </c>
      <c r="S271" s="342" t="s">
        <v>1636</v>
      </c>
      <c r="T271" s="347"/>
      <c r="U271" s="342" t="s">
        <v>40</v>
      </c>
      <c r="V271" s="344"/>
      <c r="W271" s="342" t="s">
        <v>41</v>
      </c>
      <c r="X271" s="343">
        <v>5</v>
      </c>
    </row>
    <row r="272" spans="1:24" ht="120" x14ac:dyDescent="0.15">
      <c r="A272" s="342" t="s">
        <v>746</v>
      </c>
      <c r="B272" s="342" t="s">
        <v>747</v>
      </c>
      <c r="C272" s="343">
        <v>0</v>
      </c>
      <c r="D272" s="343">
        <v>0</v>
      </c>
      <c r="E272" s="343">
        <v>0</v>
      </c>
      <c r="F272" s="343">
        <v>0</v>
      </c>
      <c r="G272" s="343">
        <v>0</v>
      </c>
      <c r="H272" s="343">
        <v>0</v>
      </c>
      <c r="I272" s="343">
        <v>0</v>
      </c>
      <c r="J272" s="343">
        <v>1</v>
      </c>
      <c r="K272" s="344"/>
      <c r="L272" s="342" t="s">
        <v>9</v>
      </c>
      <c r="M272" s="344"/>
      <c r="N272" s="344"/>
      <c r="O272" s="347"/>
      <c r="P272" s="342" t="s">
        <v>1637</v>
      </c>
      <c r="Q272" s="342" t="s">
        <v>748</v>
      </c>
      <c r="R272" s="344"/>
      <c r="S272" s="342" t="s">
        <v>1891</v>
      </c>
      <c r="T272" s="344"/>
      <c r="U272" s="342" t="s">
        <v>40</v>
      </c>
      <c r="V272" s="344"/>
      <c r="W272" s="342" t="s">
        <v>41</v>
      </c>
      <c r="X272" s="343">
        <v>5</v>
      </c>
    </row>
    <row r="273" spans="1:24" ht="98" x14ac:dyDescent="0.2">
      <c r="A273" s="355" t="s">
        <v>749</v>
      </c>
      <c r="B273" s="355" t="s">
        <v>1638</v>
      </c>
      <c r="C273" s="343">
        <v>0</v>
      </c>
      <c r="D273" s="343">
        <v>0</v>
      </c>
      <c r="E273" s="343">
        <v>0</v>
      </c>
      <c r="F273" s="343">
        <v>0</v>
      </c>
      <c r="G273" s="343">
        <v>0</v>
      </c>
      <c r="H273" s="343">
        <v>0</v>
      </c>
      <c r="I273" s="343">
        <v>0</v>
      </c>
      <c r="J273" s="343">
        <v>1</v>
      </c>
      <c r="K273" s="344"/>
      <c r="L273" s="342" t="s">
        <v>9</v>
      </c>
      <c r="M273" s="344"/>
      <c r="N273" s="344"/>
      <c r="O273" s="344"/>
      <c r="P273" s="342" t="s">
        <v>1639</v>
      </c>
      <c r="Q273" s="342" t="s">
        <v>1640</v>
      </c>
      <c r="R273" s="344"/>
      <c r="S273" s="344" t="s">
        <v>1821</v>
      </c>
      <c r="T273" s="344" t="s">
        <v>1822</v>
      </c>
      <c r="U273" s="342" t="s">
        <v>148</v>
      </c>
      <c r="V273" s="344"/>
      <c r="W273" s="342" t="s">
        <v>46</v>
      </c>
      <c r="X273" s="343">
        <v>20</v>
      </c>
    </row>
    <row r="274" spans="1:24" ht="105" x14ac:dyDescent="0.2">
      <c r="A274" s="342" t="s">
        <v>750</v>
      </c>
      <c r="B274" s="342" t="s">
        <v>751</v>
      </c>
      <c r="C274" s="343">
        <v>0</v>
      </c>
      <c r="D274" s="343">
        <v>0</v>
      </c>
      <c r="E274" s="343">
        <v>0</v>
      </c>
      <c r="F274" s="343">
        <v>0</v>
      </c>
      <c r="G274" s="343">
        <v>0</v>
      </c>
      <c r="H274" s="343">
        <v>0</v>
      </c>
      <c r="I274" s="343">
        <v>0</v>
      </c>
      <c r="J274" s="343">
        <v>1</v>
      </c>
      <c r="K274" s="344"/>
      <c r="L274" s="342" t="s">
        <v>9</v>
      </c>
      <c r="M274" s="344"/>
      <c r="N274" s="344"/>
      <c r="O274" s="342" t="s">
        <v>1641</v>
      </c>
      <c r="P274" s="342" t="s">
        <v>1642</v>
      </c>
      <c r="Q274" s="342" t="s">
        <v>1643</v>
      </c>
      <c r="R274" s="344"/>
      <c r="S274" s="342" t="s">
        <v>1644</v>
      </c>
      <c r="T274" s="344"/>
      <c r="U274" s="342" t="s">
        <v>40</v>
      </c>
      <c r="V274" s="344"/>
      <c r="W274" s="342" t="s">
        <v>41</v>
      </c>
      <c r="X274" s="343">
        <v>5</v>
      </c>
    </row>
    <row r="275" spans="1:24" ht="105" x14ac:dyDescent="0.2">
      <c r="A275" s="342" t="s">
        <v>752</v>
      </c>
      <c r="B275" s="342" t="s">
        <v>753</v>
      </c>
      <c r="C275" s="343">
        <v>0</v>
      </c>
      <c r="D275" s="343">
        <v>0</v>
      </c>
      <c r="E275" s="343">
        <v>0</v>
      </c>
      <c r="F275" s="343">
        <v>0</v>
      </c>
      <c r="G275" s="343">
        <v>0</v>
      </c>
      <c r="H275" s="343">
        <v>0</v>
      </c>
      <c r="I275" s="343">
        <v>0</v>
      </c>
      <c r="J275" s="343">
        <v>1</v>
      </c>
      <c r="K275" s="342"/>
      <c r="L275" s="342" t="s">
        <v>9</v>
      </c>
      <c r="M275" s="344"/>
      <c r="N275" s="344"/>
      <c r="O275" s="342" t="s">
        <v>1645</v>
      </c>
      <c r="P275" s="344"/>
      <c r="Q275" s="342" t="s">
        <v>754</v>
      </c>
      <c r="R275" s="344"/>
      <c r="S275" s="342" t="s">
        <v>1646</v>
      </c>
      <c r="T275" s="342" t="s">
        <v>1647</v>
      </c>
      <c r="U275" s="342" t="s">
        <v>148</v>
      </c>
      <c r="V275" s="344"/>
      <c r="W275" s="342" t="s">
        <v>75</v>
      </c>
      <c r="X275" s="343">
        <v>10</v>
      </c>
    </row>
    <row r="276" spans="1:24" ht="60" x14ac:dyDescent="0.2">
      <c r="A276" s="342" t="s">
        <v>755</v>
      </c>
      <c r="B276" s="342" t="s">
        <v>1127</v>
      </c>
      <c r="C276" s="343">
        <v>0</v>
      </c>
      <c r="D276" s="343">
        <v>0</v>
      </c>
      <c r="E276" s="343">
        <v>0</v>
      </c>
      <c r="F276" s="343">
        <v>0</v>
      </c>
      <c r="G276" s="343">
        <v>0</v>
      </c>
      <c r="H276" s="343">
        <v>0</v>
      </c>
      <c r="I276" s="343">
        <v>0</v>
      </c>
      <c r="J276" s="343">
        <v>1</v>
      </c>
      <c r="K276" s="342"/>
      <c r="L276" s="342" t="s">
        <v>9</v>
      </c>
      <c r="M276" s="344"/>
      <c r="N276" s="344"/>
      <c r="O276" s="342" t="s">
        <v>1648</v>
      </c>
      <c r="P276" s="342" t="s">
        <v>1642</v>
      </c>
      <c r="Q276" s="342" t="s">
        <v>756</v>
      </c>
      <c r="R276" s="344"/>
      <c r="S276" s="342" t="s">
        <v>1649</v>
      </c>
      <c r="T276" s="344"/>
      <c r="U276" s="342" t="s">
        <v>40</v>
      </c>
      <c r="V276" s="344"/>
      <c r="W276" s="342" t="s">
        <v>75</v>
      </c>
      <c r="X276" s="343">
        <v>10</v>
      </c>
    </row>
    <row r="277" spans="1:24" ht="60" x14ac:dyDescent="0.2">
      <c r="A277" s="342" t="s">
        <v>757</v>
      </c>
      <c r="B277" s="342" t="s">
        <v>758</v>
      </c>
      <c r="C277" s="343">
        <v>0</v>
      </c>
      <c r="D277" s="343">
        <v>0</v>
      </c>
      <c r="E277" s="343">
        <v>0</v>
      </c>
      <c r="F277" s="343">
        <v>0</v>
      </c>
      <c r="G277" s="343">
        <v>0</v>
      </c>
      <c r="H277" s="343">
        <v>0</v>
      </c>
      <c r="I277" s="343">
        <v>0</v>
      </c>
      <c r="J277" s="343">
        <v>1</v>
      </c>
      <c r="K277" s="342"/>
      <c r="L277" s="342" t="s">
        <v>9</v>
      </c>
      <c r="M277" s="344"/>
      <c r="N277" s="344"/>
      <c r="O277" s="342" t="s">
        <v>1650</v>
      </c>
      <c r="P277" s="342" t="s">
        <v>1642</v>
      </c>
      <c r="Q277" s="344"/>
      <c r="R277" s="344"/>
      <c r="S277" s="342" t="s">
        <v>1651</v>
      </c>
      <c r="T277" s="344"/>
      <c r="U277" s="342" t="s">
        <v>40</v>
      </c>
      <c r="V277" s="344"/>
      <c r="W277" s="342" t="s">
        <v>75</v>
      </c>
      <c r="X277" s="343">
        <v>10</v>
      </c>
    </row>
    <row r="278" spans="1:24" ht="105" x14ac:dyDescent="0.2">
      <c r="A278" s="342" t="s">
        <v>759</v>
      </c>
      <c r="B278" s="342" t="s">
        <v>760</v>
      </c>
      <c r="C278" s="343">
        <v>0</v>
      </c>
      <c r="D278" s="343">
        <v>0</v>
      </c>
      <c r="E278" s="343">
        <v>0</v>
      </c>
      <c r="F278" s="343">
        <v>0</v>
      </c>
      <c r="G278" s="343">
        <v>0</v>
      </c>
      <c r="H278" s="343">
        <v>0</v>
      </c>
      <c r="I278" s="343">
        <v>0</v>
      </c>
      <c r="J278" s="343">
        <v>1</v>
      </c>
      <c r="K278" s="342"/>
      <c r="L278" s="342" t="s">
        <v>9</v>
      </c>
      <c r="M278" s="344"/>
      <c r="N278" s="344"/>
      <c r="O278" s="342" t="s">
        <v>1652</v>
      </c>
      <c r="P278" s="342" t="s">
        <v>1652</v>
      </c>
      <c r="Q278" s="342" t="s">
        <v>761</v>
      </c>
      <c r="R278" s="344"/>
      <c r="S278" s="342" t="s">
        <v>1653</v>
      </c>
      <c r="T278" s="342" t="s">
        <v>1654</v>
      </c>
      <c r="U278" s="342" t="s">
        <v>148</v>
      </c>
      <c r="V278" s="344"/>
      <c r="W278" s="342" t="s">
        <v>75</v>
      </c>
      <c r="X278" s="343">
        <v>10</v>
      </c>
    </row>
    <row r="279" spans="1:24" ht="60" x14ac:dyDescent="0.2">
      <c r="A279" s="342" t="s">
        <v>762</v>
      </c>
      <c r="B279" s="342" t="s">
        <v>763</v>
      </c>
      <c r="C279" s="343">
        <v>0</v>
      </c>
      <c r="D279" s="343">
        <v>0</v>
      </c>
      <c r="E279" s="343">
        <v>0</v>
      </c>
      <c r="F279" s="343">
        <v>0</v>
      </c>
      <c r="G279" s="343">
        <v>0</v>
      </c>
      <c r="H279" s="343">
        <v>0</v>
      </c>
      <c r="I279" s="343">
        <v>0</v>
      </c>
      <c r="J279" s="343">
        <v>1</v>
      </c>
      <c r="K279" s="342"/>
      <c r="L279" s="342" t="s">
        <v>9</v>
      </c>
      <c r="M279" s="344"/>
      <c r="N279" s="344"/>
      <c r="O279" s="342" t="s">
        <v>1655</v>
      </c>
      <c r="P279" s="342" t="s">
        <v>1642</v>
      </c>
      <c r="Q279" s="344"/>
      <c r="R279" s="341" t="s">
        <v>1526</v>
      </c>
      <c r="S279" s="342" t="s">
        <v>1656</v>
      </c>
      <c r="T279" s="344"/>
      <c r="U279" s="342" t="s">
        <v>40</v>
      </c>
      <c r="V279" s="344"/>
      <c r="W279" s="342" t="s">
        <v>75</v>
      </c>
      <c r="X279" s="343">
        <v>10</v>
      </c>
    </row>
    <row r="280" spans="1:24" ht="98" x14ac:dyDescent="0.2">
      <c r="A280" s="342" t="s">
        <v>1034</v>
      </c>
      <c r="B280" s="342" t="s">
        <v>1865</v>
      </c>
      <c r="C280" s="343">
        <v>0</v>
      </c>
      <c r="D280" s="343">
        <v>0</v>
      </c>
      <c r="E280" s="343">
        <v>0</v>
      </c>
      <c r="F280" s="343">
        <v>0</v>
      </c>
      <c r="G280" s="343">
        <v>0</v>
      </c>
      <c r="H280" s="343">
        <v>0</v>
      </c>
      <c r="I280" s="343">
        <v>0</v>
      </c>
      <c r="J280" s="343">
        <v>1</v>
      </c>
      <c r="K280" s="344"/>
      <c r="L280" s="342" t="s">
        <v>9</v>
      </c>
      <c r="M280" s="344"/>
      <c r="N280" s="344"/>
      <c r="O280" s="344"/>
      <c r="P280" s="342" t="s">
        <v>1657</v>
      </c>
      <c r="Q280" s="342" t="s">
        <v>1658</v>
      </c>
      <c r="R280" s="344"/>
      <c r="S280" s="344" t="s">
        <v>1823</v>
      </c>
      <c r="T280" s="344" t="s">
        <v>1824</v>
      </c>
      <c r="U280" s="342" t="s">
        <v>40</v>
      </c>
      <c r="V280" s="344"/>
      <c r="W280" s="342" t="s">
        <v>75</v>
      </c>
      <c r="X280" s="343">
        <v>10</v>
      </c>
    </row>
    <row r="281" spans="1:24" ht="98" x14ac:dyDescent="0.2">
      <c r="A281" s="342" t="s">
        <v>1035</v>
      </c>
      <c r="B281" s="342" t="s">
        <v>764</v>
      </c>
      <c r="C281" s="343">
        <v>0</v>
      </c>
      <c r="D281" s="343">
        <v>0</v>
      </c>
      <c r="E281" s="343">
        <v>0</v>
      </c>
      <c r="F281" s="343">
        <v>0</v>
      </c>
      <c r="G281" s="343">
        <v>0</v>
      </c>
      <c r="H281" s="343">
        <v>0</v>
      </c>
      <c r="I281" s="343">
        <v>0</v>
      </c>
      <c r="J281" s="343">
        <v>1</v>
      </c>
      <c r="K281" s="344"/>
      <c r="L281" s="342" t="s">
        <v>9</v>
      </c>
      <c r="M281" s="344"/>
      <c r="N281" s="344"/>
      <c r="O281" s="344"/>
      <c r="P281" s="342" t="s">
        <v>1642</v>
      </c>
      <c r="Q281" s="342" t="s">
        <v>1659</v>
      </c>
      <c r="R281" s="344"/>
      <c r="S281" s="344" t="s">
        <v>1825</v>
      </c>
      <c r="T281" s="342" t="s">
        <v>1660</v>
      </c>
      <c r="U281" s="342" t="s">
        <v>40</v>
      </c>
      <c r="V281" s="344"/>
      <c r="W281" s="342" t="s">
        <v>75</v>
      </c>
      <c r="X281" s="343">
        <v>10</v>
      </c>
    </row>
    <row r="282" spans="1:24" ht="98" x14ac:dyDescent="0.2">
      <c r="A282" s="342" t="s">
        <v>1036</v>
      </c>
      <c r="B282" s="342" t="s">
        <v>765</v>
      </c>
      <c r="C282" s="343">
        <v>0</v>
      </c>
      <c r="D282" s="343">
        <v>0</v>
      </c>
      <c r="E282" s="343">
        <v>0</v>
      </c>
      <c r="F282" s="343">
        <v>0</v>
      </c>
      <c r="G282" s="343">
        <v>0</v>
      </c>
      <c r="H282" s="343">
        <v>0</v>
      </c>
      <c r="I282" s="343">
        <v>0</v>
      </c>
      <c r="J282" s="343">
        <v>1</v>
      </c>
      <c r="K282" s="344"/>
      <c r="L282" s="342" t="s">
        <v>9</v>
      </c>
      <c r="M282" s="344"/>
      <c r="N282" s="344"/>
      <c r="O282" s="344"/>
      <c r="P282" s="342" t="s">
        <v>1642</v>
      </c>
      <c r="Q282" s="342" t="s">
        <v>1658</v>
      </c>
      <c r="R282" s="349" t="s">
        <v>1846</v>
      </c>
      <c r="S282" s="344" t="s">
        <v>1826</v>
      </c>
      <c r="T282" s="344" t="s">
        <v>1827</v>
      </c>
      <c r="U282" s="342" t="s">
        <v>40</v>
      </c>
      <c r="V282" s="344"/>
      <c r="W282" s="342" t="s">
        <v>75</v>
      </c>
      <c r="X282" s="343">
        <v>10</v>
      </c>
    </row>
    <row r="283" spans="1:24" ht="135" x14ac:dyDescent="0.2">
      <c r="A283" s="342" t="s">
        <v>1037</v>
      </c>
      <c r="B283" s="342" t="s">
        <v>1474</v>
      </c>
      <c r="C283" s="343">
        <v>0</v>
      </c>
      <c r="D283" s="343">
        <v>0</v>
      </c>
      <c r="E283" s="343">
        <v>0</v>
      </c>
      <c r="F283" s="343">
        <v>0</v>
      </c>
      <c r="G283" s="343">
        <v>0</v>
      </c>
      <c r="H283" s="343">
        <v>0</v>
      </c>
      <c r="I283" s="343">
        <v>0</v>
      </c>
      <c r="J283" s="343">
        <v>1</v>
      </c>
      <c r="K283" s="344"/>
      <c r="L283" s="342" t="s">
        <v>9</v>
      </c>
      <c r="M283" s="344"/>
      <c r="N283" s="344"/>
      <c r="O283" s="342" t="s">
        <v>1661</v>
      </c>
      <c r="P283" s="342" t="s">
        <v>1642</v>
      </c>
      <c r="Q283" s="342" t="s">
        <v>1662</v>
      </c>
      <c r="R283" s="349" t="s">
        <v>1847</v>
      </c>
      <c r="S283" s="342" t="s">
        <v>1892</v>
      </c>
      <c r="T283" s="344"/>
      <c r="U283" s="342" t="s">
        <v>40</v>
      </c>
      <c r="V283" s="344"/>
      <c r="W283" s="342" t="s">
        <v>75</v>
      </c>
      <c r="X283" s="343">
        <v>10</v>
      </c>
    </row>
    <row r="284" spans="1:24" ht="112" x14ac:dyDescent="0.2">
      <c r="A284" s="342" t="s">
        <v>1038</v>
      </c>
      <c r="B284" s="342" t="s">
        <v>766</v>
      </c>
      <c r="C284" s="343">
        <v>0</v>
      </c>
      <c r="D284" s="343">
        <v>0</v>
      </c>
      <c r="E284" s="343">
        <v>0</v>
      </c>
      <c r="F284" s="343">
        <v>0</v>
      </c>
      <c r="G284" s="343">
        <v>0</v>
      </c>
      <c r="H284" s="343">
        <v>0</v>
      </c>
      <c r="I284" s="343">
        <v>0</v>
      </c>
      <c r="J284" s="343">
        <v>1</v>
      </c>
      <c r="K284" s="344"/>
      <c r="L284" s="342" t="s">
        <v>9</v>
      </c>
      <c r="M284" s="344"/>
      <c r="N284" s="344"/>
      <c r="O284" s="344"/>
      <c r="P284" s="342" t="s">
        <v>1642</v>
      </c>
      <c r="Q284" s="342" t="s">
        <v>1658</v>
      </c>
      <c r="R284" s="349" t="s">
        <v>1848</v>
      </c>
      <c r="S284" s="344" t="s">
        <v>1828</v>
      </c>
      <c r="T284" s="344" t="s">
        <v>1829</v>
      </c>
      <c r="U284" s="342" t="s">
        <v>40</v>
      </c>
      <c r="V284" s="344"/>
      <c r="W284" s="342" t="s">
        <v>75</v>
      </c>
      <c r="X284" s="343">
        <v>10</v>
      </c>
    </row>
    <row r="285" spans="1:24" ht="105" x14ac:dyDescent="0.15">
      <c r="A285" s="342" t="s">
        <v>1039</v>
      </c>
      <c r="B285" s="342" t="s">
        <v>767</v>
      </c>
      <c r="C285" s="343">
        <v>0</v>
      </c>
      <c r="D285" s="343">
        <v>0</v>
      </c>
      <c r="E285" s="343">
        <v>0</v>
      </c>
      <c r="F285" s="343">
        <v>0</v>
      </c>
      <c r="G285" s="343">
        <v>0</v>
      </c>
      <c r="H285" s="343">
        <v>0</v>
      </c>
      <c r="I285" s="343">
        <v>0</v>
      </c>
      <c r="J285" s="343">
        <v>1</v>
      </c>
      <c r="K285" s="344"/>
      <c r="L285" s="342" t="s">
        <v>9</v>
      </c>
      <c r="M285" s="344"/>
      <c r="N285" s="344"/>
      <c r="O285" s="344"/>
      <c r="P285" s="342" t="s">
        <v>1663</v>
      </c>
      <c r="Q285" s="347"/>
      <c r="R285" s="349" t="s">
        <v>1849</v>
      </c>
      <c r="S285" s="342" t="s">
        <v>1664</v>
      </c>
      <c r="T285" s="344"/>
      <c r="U285" s="342" t="s">
        <v>40</v>
      </c>
      <c r="V285" s="344"/>
      <c r="W285" s="342" t="s">
        <v>75</v>
      </c>
      <c r="X285" s="343">
        <v>10</v>
      </c>
    </row>
    <row r="286" spans="1:24" ht="225" x14ac:dyDescent="0.2">
      <c r="A286" s="342" t="s">
        <v>1040</v>
      </c>
      <c r="B286" s="342" t="s">
        <v>1128</v>
      </c>
      <c r="C286" s="343">
        <v>0</v>
      </c>
      <c r="D286" s="343">
        <v>0</v>
      </c>
      <c r="E286" s="343">
        <v>0</v>
      </c>
      <c r="F286" s="343">
        <v>0</v>
      </c>
      <c r="G286" s="343">
        <v>0</v>
      </c>
      <c r="H286" s="343">
        <v>0</v>
      </c>
      <c r="I286" s="343">
        <v>0</v>
      </c>
      <c r="J286" s="343">
        <v>1</v>
      </c>
      <c r="K286" s="344"/>
      <c r="L286" s="342" t="s">
        <v>9</v>
      </c>
      <c r="M286" s="344"/>
      <c r="N286" s="344"/>
      <c r="O286" s="342" t="s">
        <v>1893</v>
      </c>
      <c r="P286" s="342" t="s">
        <v>1893</v>
      </c>
      <c r="Q286" s="342" t="s">
        <v>1893</v>
      </c>
      <c r="R286" s="349" t="s">
        <v>1850</v>
      </c>
      <c r="S286" s="342" t="s">
        <v>1894</v>
      </c>
      <c r="T286" s="344"/>
      <c r="U286" s="342" t="s">
        <v>40</v>
      </c>
      <c r="V286" s="344"/>
      <c r="W286" s="342" t="s">
        <v>75</v>
      </c>
      <c r="X286" s="343">
        <v>10</v>
      </c>
    </row>
    <row r="287" spans="1:24" ht="98" x14ac:dyDescent="0.2">
      <c r="A287" s="342" t="s">
        <v>1041</v>
      </c>
      <c r="B287" s="342" t="s">
        <v>1475</v>
      </c>
      <c r="C287" s="343">
        <v>0</v>
      </c>
      <c r="D287" s="343">
        <v>0</v>
      </c>
      <c r="E287" s="343">
        <v>0</v>
      </c>
      <c r="F287" s="343">
        <v>0</v>
      </c>
      <c r="G287" s="343">
        <v>0</v>
      </c>
      <c r="H287" s="343">
        <v>0</v>
      </c>
      <c r="I287" s="343">
        <v>0</v>
      </c>
      <c r="J287" s="343">
        <v>1</v>
      </c>
      <c r="K287" s="344"/>
      <c r="L287" s="342" t="s">
        <v>9</v>
      </c>
      <c r="M287" s="344"/>
      <c r="N287" s="344"/>
      <c r="O287" s="344"/>
      <c r="P287" s="344"/>
      <c r="Q287" s="344"/>
      <c r="R287" s="349" t="s">
        <v>1851</v>
      </c>
      <c r="S287" s="344" t="s">
        <v>1830</v>
      </c>
      <c r="T287" s="344" t="s">
        <v>1831</v>
      </c>
      <c r="U287" s="342" t="s">
        <v>40</v>
      </c>
      <c r="V287" s="344"/>
      <c r="W287" s="342" t="s">
        <v>75</v>
      </c>
      <c r="X287" s="343">
        <v>10</v>
      </c>
    </row>
    <row r="288" spans="1:24" ht="84" x14ac:dyDescent="0.2">
      <c r="A288" s="342" t="s">
        <v>1042</v>
      </c>
      <c r="B288" s="342" t="s">
        <v>768</v>
      </c>
      <c r="C288" s="343">
        <v>0</v>
      </c>
      <c r="D288" s="343">
        <v>0</v>
      </c>
      <c r="E288" s="343">
        <v>0</v>
      </c>
      <c r="F288" s="343">
        <v>0</v>
      </c>
      <c r="G288" s="343">
        <v>0</v>
      </c>
      <c r="H288" s="343">
        <v>0</v>
      </c>
      <c r="I288" s="343">
        <v>0</v>
      </c>
      <c r="J288" s="343">
        <v>1</v>
      </c>
      <c r="K288" s="344"/>
      <c r="L288" s="342" t="s">
        <v>9</v>
      </c>
      <c r="M288" s="344"/>
      <c r="N288" s="344"/>
      <c r="O288" s="344"/>
      <c r="P288" s="344"/>
      <c r="Q288" s="344"/>
      <c r="R288" s="349" t="s">
        <v>1852</v>
      </c>
      <c r="S288" s="344" t="s">
        <v>1832</v>
      </c>
      <c r="T288" s="344" t="s">
        <v>1833</v>
      </c>
      <c r="U288" s="342" t="s">
        <v>40</v>
      </c>
      <c r="V288" s="344"/>
      <c r="W288" s="342" t="s">
        <v>75</v>
      </c>
      <c r="X288" s="343">
        <v>10</v>
      </c>
    </row>
    <row r="289" spans="1:24" ht="112" x14ac:dyDescent="0.2">
      <c r="A289" s="342" t="s">
        <v>1043</v>
      </c>
      <c r="B289" s="342" t="s">
        <v>1476</v>
      </c>
      <c r="C289" s="343">
        <v>0</v>
      </c>
      <c r="D289" s="343">
        <v>0</v>
      </c>
      <c r="E289" s="343">
        <v>0</v>
      </c>
      <c r="F289" s="343">
        <v>0</v>
      </c>
      <c r="G289" s="343">
        <v>0</v>
      </c>
      <c r="H289" s="343">
        <v>0</v>
      </c>
      <c r="I289" s="343">
        <v>0</v>
      </c>
      <c r="J289" s="343">
        <v>1</v>
      </c>
      <c r="K289" s="344"/>
      <c r="L289" s="342" t="s">
        <v>9</v>
      </c>
      <c r="M289" s="344"/>
      <c r="N289" s="344"/>
      <c r="O289" s="344"/>
      <c r="P289" s="344"/>
      <c r="Q289" s="344"/>
      <c r="R289" s="349" t="s">
        <v>1853</v>
      </c>
      <c r="S289" s="344" t="s">
        <v>1834</v>
      </c>
      <c r="T289" s="344" t="s">
        <v>1835</v>
      </c>
      <c r="U289" s="342" t="s">
        <v>40</v>
      </c>
      <c r="V289" s="344"/>
      <c r="W289" s="342" t="s">
        <v>75</v>
      </c>
      <c r="X289" s="343">
        <v>10</v>
      </c>
    </row>
    <row r="290" spans="1:24" ht="112" x14ac:dyDescent="0.15">
      <c r="A290" s="342" t="s">
        <v>1044</v>
      </c>
      <c r="B290" s="342" t="s">
        <v>769</v>
      </c>
      <c r="C290" s="343">
        <v>0</v>
      </c>
      <c r="D290" s="343">
        <v>0</v>
      </c>
      <c r="E290" s="343">
        <v>0</v>
      </c>
      <c r="F290" s="343">
        <v>0</v>
      </c>
      <c r="G290" s="343">
        <v>0</v>
      </c>
      <c r="H290" s="343">
        <v>0</v>
      </c>
      <c r="I290" s="343">
        <v>0</v>
      </c>
      <c r="J290" s="343">
        <v>1</v>
      </c>
      <c r="K290" s="344"/>
      <c r="L290" s="342" t="s">
        <v>9</v>
      </c>
      <c r="M290" s="344"/>
      <c r="N290" s="344"/>
      <c r="O290" s="347"/>
      <c r="P290" s="344"/>
      <c r="Q290" s="342" t="s">
        <v>1665</v>
      </c>
      <c r="R290" s="349" t="s">
        <v>1854</v>
      </c>
      <c r="S290" s="344" t="s">
        <v>1836</v>
      </c>
      <c r="T290" s="344" t="s">
        <v>1837</v>
      </c>
      <c r="U290" s="342" t="s">
        <v>40</v>
      </c>
      <c r="V290" s="344"/>
      <c r="W290" s="342" t="s">
        <v>75</v>
      </c>
      <c r="X290" s="343">
        <v>10</v>
      </c>
    </row>
    <row r="291" spans="1:24" ht="112" x14ac:dyDescent="0.2">
      <c r="A291" s="342" t="s">
        <v>1045</v>
      </c>
      <c r="B291" s="342" t="s">
        <v>770</v>
      </c>
      <c r="C291" s="343">
        <v>0</v>
      </c>
      <c r="D291" s="343">
        <v>0</v>
      </c>
      <c r="E291" s="343">
        <v>0</v>
      </c>
      <c r="F291" s="343">
        <v>0</v>
      </c>
      <c r="G291" s="343">
        <v>0</v>
      </c>
      <c r="H291" s="343">
        <v>0</v>
      </c>
      <c r="I291" s="343">
        <v>0</v>
      </c>
      <c r="J291" s="343">
        <v>1</v>
      </c>
      <c r="K291" s="344"/>
      <c r="L291" s="342" t="s">
        <v>9</v>
      </c>
      <c r="M291" s="344"/>
      <c r="N291" s="344"/>
      <c r="O291" s="344"/>
      <c r="P291" s="344"/>
      <c r="Q291" s="342" t="s">
        <v>1666</v>
      </c>
      <c r="R291" s="349" t="s">
        <v>1855</v>
      </c>
      <c r="S291" s="344" t="s">
        <v>1838</v>
      </c>
      <c r="T291" s="344" t="s">
        <v>1839</v>
      </c>
      <c r="U291" s="342" t="s">
        <v>40</v>
      </c>
      <c r="V291" s="344"/>
      <c r="W291" s="342" t="s">
        <v>75</v>
      </c>
      <c r="X291" s="343">
        <v>10</v>
      </c>
    </row>
    <row r="292" spans="1:24" ht="112" x14ac:dyDescent="0.2">
      <c r="A292" s="342" t="s">
        <v>1046</v>
      </c>
      <c r="B292" s="342" t="s">
        <v>1667</v>
      </c>
      <c r="C292" s="343">
        <v>0</v>
      </c>
      <c r="D292" s="343">
        <v>0</v>
      </c>
      <c r="E292" s="343">
        <v>0</v>
      </c>
      <c r="F292" s="343">
        <v>0</v>
      </c>
      <c r="G292" s="343">
        <v>0</v>
      </c>
      <c r="H292" s="343">
        <v>0</v>
      </c>
      <c r="I292" s="343">
        <v>0</v>
      </c>
      <c r="J292" s="343">
        <v>1</v>
      </c>
      <c r="K292" s="344"/>
      <c r="L292" s="342" t="s">
        <v>9</v>
      </c>
      <c r="M292" s="344"/>
      <c r="N292" s="344"/>
      <c r="O292" s="344"/>
      <c r="P292" s="344"/>
      <c r="Q292" s="342" t="s">
        <v>1668</v>
      </c>
      <c r="R292" s="349" t="s">
        <v>1856</v>
      </c>
      <c r="S292" s="344" t="s">
        <v>1840</v>
      </c>
      <c r="T292" s="344" t="s">
        <v>1841</v>
      </c>
      <c r="U292" s="342" t="s">
        <v>148</v>
      </c>
      <c r="V292" s="344"/>
      <c r="W292" s="342" t="s">
        <v>75</v>
      </c>
      <c r="X292" s="343">
        <v>10</v>
      </c>
    </row>
    <row r="293" spans="1:24" ht="255" x14ac:dyDescent="0.2">
      <c r="A293" s="342" t="s">
        <v>1047</v>
      </c>
      <c r="B293" s="342" t="s">
        <v>771</v>
      </c>
      <c r="C293" s="343">
        <v>0</v>
      </c>
      <c r="D293" s="343">
        <v>0</v>
      </c>
      <c r="E293" s="343">
        <v>0</v>
      </c>
      <c r="F293" s="343">
        <v>0</v>
      </c>
      <c r="G293" s="343">
        <v>0</v>
      </c>
      <c r="H293" s="343">
        <v>0</v>
      </c>
      <c r="I293" s="343">
        <v>0</v>
      </c>
      <c r="J293" s="343">
        <v>1</v>
      </c>
      <c r="K293" s="344"/>
      <c r="L293" s="342" t="s">
        <v>9</v>
      </c>
      <c r="M293" s="344"/>
      <c r="N293" s="344"/>
      <c r="O293" s="342" t="s">
        <v>1669</v>
      </c>
      <c r="P293" s="342" t="s">
        <v>1669</v>
      </c>
      <c r="Q293" s="342" t="s">
        <v>1670</v>
      </c>
      <c r="R293" s="349" t="s">
        <v>1857</v>
      </c>
      <c r="S293" s="342" t="s">
        <v>1895</v>
      </c>
      <c r="T293" s="342" t="s">
        <v>1896</v>
      </c>
      <c r="U293" s="342" t="s">
        <v>40</v>
      </c>
      <c r="V293" s="344"/>
      <c r="W293" s="342" t="s">
        <v>75</v>
      </c>
      <c r="X293" s="343">
        <v>10</v>
      </c>
    </row>
    <row r="294" spans="1:24" ht="180" x14ac:dyDescent="0.2">
      <c r="A294" s="342" t="s">
        <v>1048</v>
      </c>
      <c r="B294" s="342" t="s">
        <v>772</v>
      </c>
      <c r="C294" s="343">
        <v>0</v>
      </c>
      <c r="D294" s="343">
        <v>0</v>
      </c>
      <c r="E294" s="343">
        <v>0</v>
      </c>
      <c r="F294" s="343">
        <v>0</v>
      </c>
      <c r="G294" s="343">
        <v>0</v>
      </c>
      <c r="H294" s="343">
        <v>0</v>
      </c>
      <c r="I294" s="343">
        <v>0</v>
      </c>
      <c r="J294" s="343">
        <v>1</v>
      </c>
      <c r="K294" s="344"/>
      <c r="L294" s="342" t="s">
        <v>9</v>
      </c>
      <c r="M294" s="344"/>
      <c r="N294" s="344"/>
      <c r="O294" s="344"/>
      <c r="P294" s="344"/>
      <c r="Q294" s="342" t="s">
        <v>1671</v>
      </c>
      <c r="R294" s="344"/>
      <c r="S294" s="342" t="s">
        <v>1672</v>
      </c>
      <c r="T294" s="344"/>
      <c r="U294" s="342" t="s">
        <v>40</v>
      </c>
      <c r="V294" s="344"/>
      <c r="W294" s="342" t="s">
        <v>75</v>
      </c>
      <c r="X294" s="343">
        <v>10</v>
      </c>
    </row>
    <row r="295" spans="1:24" ht="135" x14ac:dyDescent="0.15">
      <c r="A295" s="342" t="s">
        <v>1049</v>
      </c>
      <c r="B295" s="342" t="s">
        <v>1129</v>
      </c>
      <c r="C295" s="343">
        <v>0</v>
      </c>
      <c r="D295" s="343">
        <v>0</v>
      </c>
      <c r="E295" s="343">
        <v>0</v>
      </c>
      <c r="F295" s="343">
        <v>0</v>
      </c>
      <c r="G295" s="343">
        <v>0</v>
      </c>
      <c r="H295" s="343">
        <v>0</v>
      </c>
      <c r="I295" s="343">
        <v>0</v>
      </c>
      <c r="J295" s="343">
        <v>1</v>
      </c>
      <c r="K295" s="342"/>
      <c r="L295" s="342" t="s">
        <v>9</v>
      </c>
      <c r="M295" s="344"/>
      <c r="N295" s="342" t="s">
        <v>1371</v>
      </c>
      <c r="O295" s="347"/>
      <c r="P295" s="342" t="s">
        <v>1673</v>
      </c>
      <c r="Q295" s="342" t="s">
        <v>1674</v>
      </c>
      <c r="R295" s="341" t="s">
        <v>1526</v>
      </c>
      <c r="S295" s="344" t="s">
        <v>1842</v>
      </c>
      <c r="T295" s="342" t="s">
        <v>1675</v>
      </c>
      <c r="U295" s="342" t="s">
        <v>148</v>
      </c>
      <c r="V295" s="344"/>
      <c r="W295" s="342" t="s">
        <v>75</v>
      </c>
      <c r="X295" s="343">
        <v>10</v>
      </c>
    </row>
    <row r="296" spans="1:24" ht="105" x14ac:dyDescent="0.2">
      <c r="A296" s="355" t="s">
        <v>1050</v>
      </c>
      <c r="B296" s="355" t="s">
        <v>1523</v>
      </c>
      <c r="C296" s="343">
        <v>0</v>
      </c>
      <c r="D296" s="343">
        <v>0</v>
      </c>
      <c r="E296" s="343">
        <v>0</v>
      </c>
      <c r="F296" s="343">
        <v>0</v>
      </c>
      <c r="G296" s="343">
        <v>0</v>
      </c>
      <c r="H296" s="343">
        <v>0</v>
      </c>
      <c r="I296" s="343">
        <v>0</v>
      </c>
      <c r="J296" s="343">
        <v>1</v>
      </c>
      <c r="K296" s="344"/>
      <c r="L296" s="342" t="s">
        <v>9</v>
      </c>
      <c r="M296" s="344"/>
      <c r="N296" s="342" t="s">
        <v>1371</v>
      </c>
      <c r="O296" s="344"/>
      <c r="P296" s="342" t="s">
        <v>1676</v>
      </c>
      <c r="Q296" s="342" t="s">
        <v>1677</v>
      </c>
      <c r="R296" s="341" t="s">
        <v>1526</v>
      </c>
      <c r="S296" s="342" t="s">
        <v>1678</v>
      </c>
      <c r="T296" s="342" t="s">
        <v>1679</v>
      </c>
      <c r="U296" s="342" t="s">
        <v>148</v>
      </c>
      <c r="V296" s="344"/>
      <c r="W296" s="342" t="s">
        <v>46</v>
      </c>
      <c r="X296" s="343">
        <v>20</v>
      </c>
    </row>
    <row r="297" spans="1:24" ht="120" x14ac:dyDescent="0.2">
      <c r="A297" s="355" t="s">
        <v>773</v>
      </c>
      <c r="B297" s="355" t="s">
        <v>1130</v>
      </c>
      <c r="C297" s="343">
        <v>0</v>
      </c>
      <c r="D297" s="343">
        <v>0</v>
      </c>
      <c r="E297" s="343">
        <v>0</v>
      </c>
      <c r="F297" s="343">
        <v>0</v>
      </c>
      <c r="G297" s="343">
        <v>0</v>
      </c>
      <c r="H297" s="343">
        <v>0</v>
      </c>
      <c r="I297" s="343">
        <v>0</v>
      </c>
      <c r="J297" s="343">
        <v>1</v>
      </c>
      <c r="K297" s="344"/>
      <c r="L297" s="342" t="s">
        <v>9</v>
      </c>
      <c r="M297" s="344"/>
      <c r="N297" s="342" t="s">
        <v>1371</v>
      </c>
      <c r="O297" s="344"/>
      <c r="P297" s="342" t="s">
        <v>1680</v>
      </c>
      <c r="Q297" s="342" t="s">
        <v>1681</v>
      </c>
      <c r="R297" s="341" t="s">
        <v>1526</v>
      </c>
      <c r="S297" s="342" t="s">
        <v>1682</v>
      </c>
      <c r="T297" s="342" t="s">
        <v>1683</v>
      </c>
      <c r="U297" s="342" t="s">
        <v>40</v>
      </c>
      <c r="V297" s="344"/>
      <c r="W297" s="342" t="s">
        <v>46</v>
      </c>
      <c r="X297" s="343">
        <v>20</v>
      </c>
    </row>
    <row r="298" spans="1:24" ht="105" x14ac:dyDescent="0.2">
      <c r="A298" s="342" t="s">
        <v>775</v>
      </c>
      <c r="B298" s="342" t="s">
        <v>1131</v>
      </c>
      <c r="C298" s="343">
        <v>0</v>
      </c>
      <c r="D298" s="343">
        <v>0</v>
      </c>
      <c r="E298" s="343">
        <v>0</v>
      </c>
      <c r="F298" s="343">
        <v>0</v>
      </c>
      <c r="G298" s="343">
        <v>0</v>
      </c>
      <c r="H298" s="343">
        <v>0</v>
      </c>
      <c r="I298" s="343">
        <v>0</v>
      </c>
      <c r="J298" s="343">
        <v>1</v>
      </c>
      <c r="K298" s="342"/>
      <c r="L298" s="342" t="s">
        <v>9</v>
      </c>
      <c r="M298" s="344"/>
      <c r="N298" s="342" t="s">
        <v>1371</v>
      </c>
      <c r="O298" s="344"/>
      <c r="P298" s="342" t="s">
        <v>1684</v>
      </c>
      <c r="Q298" s="342" t="s">
        <v>1685</v>
      </c>
      <c r="R298" s="341" t="s">
        <v>1526</v>
      </c>
      <c r="S298" s="342" t="s">
        <v>1686</v>
      </c>
      <c r="T298" s="342" t="s">
        <v>1687</v>
      </c>
      <c r="U298" s="342" t="s">
        <v>148</v>
      </c>
      <c r="V298" s="344"/>
      <c r="W298" s="342" t="s">
        <v>75</v>
      </c>
      <c r="X298" s="343">
        <v>10</v>
      </c>
    </row>
    <row r="299" spans="1:24" ht="120" x14ac:dyDescent="0.2">
      <c r="A299" s="342" t="s">
        <v>776</v>
      </c>
      <c r="B299" s="342" t="s">
        <v>774</v>
      </c>
      <c r="C299" s="343">
        <v>0</v>
      </c>
      <c r="D299" s="343">
        <v>0</v>
      </c>
      <c r="E299" s="343">
        <v>0</v>
      </c>
      <c r="F299" s="343">
        <v>0</v>
      </c>
      <c r="G299" s="343">
        <v>0</v>
      </c>
      <c r="H299" s="343">
        <v>0</v>
      </c>
      <c r="I299" s="343">
        <v>0</v>
      </c>
      <c r="J299" s="343">
        <v>1</v>
      </c>
      <c r="K299" s="342"/>
      <c r="L299" s="342" t="s">
        <v>9</v>
      </c>
      <c r="M299" s="344"/>
      <c r="N299" s="342" t="s">
        <v>1371</v>
      </c>
      <c r="O299" s="344"/>
      <c r="P299" s="342" t="s">
        <v>1688</v>
      </c>
      <c r="Q299" s="342" t="s">
        <v>1688</v>
      </c>
      <c r="R299" s="341" t="s">
        <v>1526</v>
      </c>
      <c r="S299" s="342" t="s">
        <v>1689</v>
      </c>
      <c r="T299" s="342" t="s">
        <v>1690</v>
      </c>
      <c r="U299" s="342" t="s">
        <v>40</v>
      </c>
      <c r="V299" s="344"/>
      <c r="W299" s="342" t="s">
        <v>41</v>
      </c>
      <c r="X299" s="343">
        <v>5</v>
      </c>
    </row>
    <row r="300" spans="1:24" ht="150" x14ac:dyDescent="0.2">
      <c r="A300" s="342" t="s">
        <v>778</v>
      </c>
      <c r="B300" s="342" t="s">
        <v>777</v>
      </c>
      <c r="C300" s="343">
        <v>0</v>
      </c>
      <c r="D300" s="343">
        <v>0</v>
      </c>
      <c r="E300" s="343">
        <v>0</v>
      </c>
      <c r="F300" s="343">
        <v>0</v>
      </c>
      <c r="G300" s="343">
        <v>0</v>
      </c>
      <c r="H300" s="343">
        <v>0</v>
      </c>
      <c r="I300" s="343">
        <v>0</v>
      </c>
      <c r="J300" s="343">
        <v>1</v>
      </c>
      <c r="K300" s="342"/>
      <c r="L300" s="342" t="s">
        <v>9</v>
      </c>
      <c r="M300" s="344"/>
      <c r="N300" s="342" t="s">
        <v>1371</v>
      </c>
      <c r="O300" s="342" t="s">
        <v>1691</v>
      </c>
      <c r="P300" s="342" t="s">
        <v>1691</v>
      </c>
      <c r="Q300" s="342" t="s">
        <v>1691</v>
      </c>
      <c r="R300" s="341" t="s">
        <v>1526</v>
      </c>
      <c r="S300" s="342" t="s">
        <v>1692</v>
      </c>
      <c r="T300" s="344"/>
      <c r="U300" s="342" t="s">
        <v>148</v>
      </c>
      <c r="V300" s="344"/>
      <c r="W300" s="342" t="s">
        <v>41</v>
      </c>
      <c r="X300" s="343">
        <v>5</v>
      </c>
    </row>
    <row r="301" spans="1:24" ht="210" x14ac:dyDescent="0.15">
      <c r="A301" s="342" t="s">
        <v>779</v>
      </c>
      <c r="B301" s="342" t="s">
        <v>1132</v>
      </c>
      <c r="C301" s="343">
        <v>0</v>
      </c>
      <c r="D301" s="343">
        <v>0</v>
      </c>
      <c r="E301" s="343">
        <v>0</v>
      </c>
      <c r="F301" s="343">
        <v>0</v>
      </c>
      <c r="G301" s="343">
        <v>0</v>
      </c>
      <c r="H301" s="343">
        <v>0</v>
      </c>
      <c r="I301" s="343">
        <v>0</v>
      </c>
      <c r="J301" s="343">
        <v>1</v>
      </c>
      <c r="K301" s="342"/>
      <c r="L301" s="342" t="s">
        <v>9</v>
      </c>
      <c r="M301" s="344"/>
      <c r="N301" s="342" t="s">
        <v>1371</v>
      </c>
      <c r="O301" s="344"/>
      <c r="P301" s="342" t="s">
        <v>1642</v>
      </c>
      <c r="Q301" s="342" t="s">
        <v>1693</v>
      </c>
      <c r="R301" s="341" t="s">
        <v>1526</v>
      </c>
      <c r="S301" s="346" t="s">
        <v>1694</v>
      </c>
      <c r="T301" s="344"/>
      <c r="U301" s="342" t="s">
        <v>40</v>
      </c>
      <c r="V301" s="344"/>
      <c r="W301" s="342" t="s">
        <v>41</v>
      </c>
      <c r="X301" s="343">
        <v>5</v>
      </c>
    </row>
    <row r="302" spans="1:24" ht="98" x14ac:dyDescent="0.2">
      <c r="A302" s="342" t="s">
        <v>780</v>
      </c>
      <c r="B302" s="342" t="s">
        <v>781</v>
      </c>
      <c r="C302" s="343">
        <v>0</v>
      </c>
      <c r="D302" s="343">
        <v>0</v>
      </c>
      <c r="E302" s="343">
        <v>0</v>
      </c>
      <c r="F302" s="343">
        <v>0</v>
      </c>
      <c r="G302" s="343">
        <v>0</v>
      </c>
      <c r="H302" s="343">
        <v>0</v>
      </c>
      <c r="I302" s="343">
        <v>0</v>
      </c>
      <c r="J302" s="343">
        <v>1</v>
      </c>
      <c r="K302" s="342"/>
      <c r="L302" s="342" t="s">
        <v>9</v>
      </c>
      <c r="M302" s="344"/>
      <c r="N302" s="342" t="s">
        <v>1371</v>
      </c>
      <c r="O302" s="344"/>
      <c r="P302" s="342" t="s">
        <v>1642</v>
      </c>
      <c r="Q302" s="342" t="s">
        <v>1695</v>
      </c>
      <c r="R302" s="341" t="s">
        <v>1526</v>
      </c>
      <c r="S302" s="344" t="s">
        <v>1843</v>
      </c>
      <c r="T302" s="344" t="s">
        <v>1844</v>
      </c>
      <c r="U302" s="342" t="s">
        <v>40</v>
      </c>
      <c r="V302" s="344"/>
      <c r="W302" s="342" t="s">
        <v>41</v>
      </c>
      <c r="X302" s="343">
        <v>5</v>
      </c>
    </row>
    <row r="303" spans="1:24" ht="105" x14ac:dyDescent="0.2">
      <c r="A303" s="224" t="s">
        <v>782</v>
      </c>
      <c r="B303" s="341" t="s">
        <v>1191</v>
      </c>
      <c r="C303" s="341">
        <v>0</v>
      </c>
      <c r="D303" s="341">
        <v>0</v>
      </c>
      <c r="E303" s="341">
        <v>0</v>
      </c>
      <c r="F303" s="341">
        <v>0</v>
      </c>
      <c r="G303" s="341">
        <v>0</v>
      </c>
      <c r="H303" s="341">
        <v>0</v>
      </c>
      <c r="I303" s="341">
        <v>1</v>
      </c>
      <c r="J303" s="341">
        <v>0</v>
      </c>
      <c r="K303" s="341" t="s">
        <v>22</v>
      </c>
      <c r="L303" s="341" t="s">
        <v>1004</v>
      </c>
      <c r="M303" s="341"/>
      <c r="N303" s="341" t="s">
        <v>1371</v>
      </c>
      <c r="O303" s="341" t="s">
        <v>1702</v>
      </c>
      <c r="P303" s="341" t="s">
        <v>1704</v>
      </c>
      <c r="Q303" s="341" t="s">
        <v>1703</v>
      </c>
      <c r="S303" s="341"/>
      <c r="T303" s="341"/>
      <c r="U303" s="341" t="s">
        <v>1004</v>
      </c>
      <c r="V303" s="341" t="s">
        <v>975</v>
      </c>
      <c r="W303" s="341"/>
      <c r="X303" s="341"/>
    </row>
    <row r="304" spans="1:24" ht="105" x14ac:dyDescent="0.2">
      <c r="A304" s="224" t="s">
        <v>783</v>
      </c>
      <c r="B304" s="341" t="s">
        <v>1192</v>
      </c>
      <c r="C304" s="341">
        <v>0</v>
      </c>
      <c r="D304" s="341">
        <v>0</v>
      </c>
      <c r="E304" s="341">
        <v>0</v>
      </c>
      <c r="F304" s="341">
        <v>0</v>
      </c>
      <c r="G304" s="341">
        <v>0</v>
      </c>
      <c r="H304" s="341">
        <v>0</v>
      </c>
      <c r="I304" s="341">
        <v>1</v>
      </c>
      <c r="J304" s="341">
        <v>0</v>
      </c>
      <c r="K304" s="341" t="s">
        <v>22</v>
      </c>
      <c r="L304" s="341" t="s">
        <v>1004</v>
      </c>
      <c r="M304" s="341"/>
      <c r="N304" s="341" t="s">
        <v>1371</v>
      </c>
      <c r="O304" s="341" t="s">
        <v>1705</v>
      </c>
      <c r="P304" s="341" t="s">
        <v>1707</v>
      </c>
      <c r="Q304" s="341" t="s">
        <v>1706</v>
      </c>
      <c r="S304" s="341"/>
      <c r="T304" s="341"/>
      <c r="U304" s="341" t="s">
        <v>1004</v>
      </c>
      <c r="V304" s="341" t="s">
        <v>975</v>
      </c>
      <c r="W304" s="341"/>
      <c r="X304" s="341"/>
    </row>
    <row r="305" spans="1:24" ht="105" x14ac:dyDescent="0.2">
      <c r="A305" s="354" t="s">
        <v>784</v>
      </c>
      <c r="B305" s="353" t="s">
        <v>1435</v>
      </c>
      <c r="C305" s="341">
        <v>0</v>
      </c>
      <c r="D305" s="341">
        <v>0</v>
      </c>
      <c r="E305" s="341">
        <v>0</v>
      </c>
      <c r="F305" s="341">
        <v>0</v>
      </c>
      <c r="G305" s="341">
        <v>0</v>
      </c>
      <c r="H305" s="341">
        <v>0</v>
      </c>
      <c r="I305" s="341">
        <v>1</v>
      </c>
      <c r="J305" s="341">
        <v>0</v>
      </c>
      <c r="K305" s="341"/>
      <c r="L305" s="341" t="s">
        <v>8</v>
      </c>
      <c r="M305" s="341"/>
      <c r="N305" s="341" t="s">
        <v>1371</v>
      </c>
      <c r="O305" s="341" t="s">
        <v>1708</v>
      </c>
      <c r="P305" s="341" t="s">
        <v>1710</v>
      </c>
      <c r="Q305" s="341" t="s">
        <v>1709</v>
      </c>
      <c r="R305" s="341"/>
      <c r="S305" s="341" t="s">
        <v>1711</v>
      </c>
      <c r="T305" s="341" t="s">
        <v>1712</v>
      </c>
      <c r="U305" s="341" t="s">
        <v>40</v>
      </c>
      <c r="V305" s="341" t="s">
        <v>975</v>
      </c>
      <c r="W305" s="341" t="s">
        <v>46</v>
      </c>
      <c r="X305" s="341">
        <f t="shared" ref="X305:X317" si="4">IF($W305="Critical Importance",20,IF($W305="Minor Importance",5,10))</f>
      </c>
    </row>
    <row r="306" spans="1:24" ht="90" x14ac:dyDescent="0.2">
      <c r="A306" s="354" t="s">
        <v>785</v>
      </c>
      <c r="B306" s="353" t="s">
        <v>1193</v>
      </c>
      <c r="C306" s="341">
        <v>0</v>
      </c>
      <c r="D306" s="341">
        <v>0</v>
      </c>
      <c r="E306" s="341">
        <v>0</v>
      </c>
      <c r="F306" s="341">
        <v>0</v>
      </c>
      <c r="G306" s="341">
        <v>0</v>
      </c>
      <c r="H306" s="341">
        <v>0</v>
      </c>
      <c r="I306" s="341">
        <v>1</v>
      </c>
      <c r="J306" s="341">
        <v>0</v>
      </c>
      <c r="K306" s="341"/>
      <c r="L306" s="341" t="s">
        <v>8</v>
      </c>
      <c r="M306" s="341"/>
      <c r="N306" s="341" t="s">
        <v>1371</v>
      </c>
      <c r="O306" s="341"/>
      <c r="P306" s="341" t="s">
        <v>1714</v>
      </c>
      <c r="Q306" s="341" t="s">
        <v>1713</v>
      </c>
      <c r="R306" s="341" t="s">
        <v>1845</v>
      </c>
      <c r="S306" s="341" t="s">
        <v>1715</v>
      </c>
      <c r="T306" s="341" t="s">
        <v>1716</v>
      </c>
      <c r="U306" s="341" t="s">
        <v>40</v>
      </c>
      <c r="V306" s="341" t="s">
        <v>975</v>
      </c>
      <c r="W306" s="341" t="s">
        <v>46</v>
      </c>
      <c r="X306" s="341">
        <f t="shared" si="4"/>
      </c>
    </row>
    <row r="307" spans="1:24" ht="120" x14ac:dyDescent="0.2">
      <c r="A307" s="354" t="s">
        <v>786</v>
      </c>
      <c r="B307" s="353" t="s">
        <v>1022</v>
      </c>
      <c r="C307" s="341">
        <v>0</v>
      </c>
      <c r="D307" s="341">
        <v>0</v>
      </c>
      <c r="E307" s="341">
        <v>0</v>
      </c>
      <c r="F307" s="341">
        <v>0</v>
      </c>
      <c r="G307" s="341">
        <v>0</v>
      </c>
      <c r="H307" s="341">
        <v>0</v>
      </c>
      <c r="I307" s="341">
        <v>1</v>
      </c>
      <c r="J307" s="341">
        <v>0</v>
      </c>
      <c r="K307" s="341"/>
      <c r="L307" s="341" t="s">
        <v>8</v>
      </c>
      <c r="M307" s="341"/>
      <c r="N307" s="341" t="s">
        <v>1371</v>
      </c>
      <c r="O307" s="341"/>
      <c r="P307" s="341" t="s">
        <v>1717</v>
      </c>
      <c r="Q307" s="341" t="s">
        <v>1897</v>
      </c>
      <c r="R307" s="341"/>
      <c r="S307" s="341" t="s">
        <v>1718</v>
      </c>
      <c r="T307" s="341" t="s">
        <v>1719</v>
      </c>
      <c r="U307" s="341" t="s">
        <v>40</v>
      </c>
      <c r="V307" s="341" t="s">
        <v>975</v>
      </c>
      <c r="W307" s="341" t="s">
        <v>46</v>
      </c>
      <c r="X307" s="341">
        <f t="shared" si="4"/>
      </c>
    </row>
    <row r="308" spans="1:24" ht="165" x14ac:dyDescent="0.2">
      <c r="A308" s="224" t="s">
        <v>787</v>
      </c>
      <c r="B308" s="341" t="s">
        <v>1194</v>
      </c>
      <c r="C308" s="341">
        <v>0</v>
      </c>
      <c r="D308" s="341">
        <v>0</v>
      </c>
      <c r="E308" s="341">
        <v>0</v>
      </c>
      <c r="F308" s="341">
        <v>0</v>
      </c>
      <c r="G308" s="341">
        <v>0</v>
      </c>
      <c r="H308" s="341">
        <v>0</v>
      </c>
      <c r="I308" s="341">
        <v>1</v>
      </c>
      <c r="J308" s="341">
        <v>0</v>
      </c>
      <c r="K308" s="341"/>
      <c r="L308" s="341" t="s">
        <v>1004</v>
      </c>
      <c r="M308" s="341"/>
      <c r="N308" s="341" t="s">
        <v>1371</v>
      </c>
      <c r="O308" s="341" t="s">
        <v>1898</v>
      </c>
      <c r="P308" s="341"/>
      <c r="Q308" s="341"/>
      <c r="R308" s="341"/>
      <c r="S308" s="341" t="s">
        <v>1720</v>
      </c>
      <c r="T308" s="341" t="s">
        <v>1721</v>
      </c>
      <c r="U308" s="341" t="s">
        <v>1004</v>
      </c>
      <c r="V308" s="341" t="s">
        <v>975</v>
      </c>
      <c r="W308" s="341"/>
      <c r="X308" s="341"/>
    </row>
    <row r="309" spans="1:24" ht="120" x14ac:dyDescent="0.2">
      <c r="A309" s="224" t="s">
        <v>788</v>
      </c>
      <c r="B309" s="341" t="s">
        <v>1195</v>
      </c>
      <c r="C309" s="341">
        <v>0</v>
      </c>
      <c r="D309" s="341">
        <v>0</v>
      </c>
      <c r="E309" s="341">
        <v>0</v>
      </c>
      <c r="F309" s="341">
        <v>0</v>
      </c>
      <c r="G309" s="341">
        <v>0</v>
      </c>
      <c r="H309" s="341">
        <v>0</v>
      </c>
      <c r="I309" s="341">
        <v>1</v>
      </c>
      <c r="J309" s="341">
        <v>0</v>
      </c>
      <c r="K309" s="341"/>
      <c r="L309" s="341" t="s">
        <v>8</v>
      </c>
      <c r="M309" s="341"/>
      <c r="N309" s="341" t="s">
        <v>1371</v>
      </c>
      <c r="O309" s="341"/>
      <c r="P309" s="341" t="s">
        <v>1899</v>
      </c>
      <c r="Q309" s="341" t="s">
        <v>1900</v>
      </c>
      <c r="R309" s="341"/>
      <c r="S309" s="341" t="s">
        <v>1901</v>
      </c>
      <c r="T309" s="341" t="s">
        <v>1722</v>
      </c>
      <c r="U309" s="341" t="s">
        <v>40</v>
      </c>
      <c r="V309" s="341" t="s">
        <v>975</v>
      </c>
      <c r="W309" s="341" t="s">
        <v>75</v>
      </c>
      <c r="X309" s="341">
        <f t="shared" si="4"/>
      </c>
    </row>
    <row r="310" spans="1:24" ht="120" x14ac:dyDescent="0.2">
      <c r="A310" s="354" t="s">
        <v>789</v>
      </c>
      <c r="B310" s="353" t="s">
        <v>1023</v>
      </c>
      <c r="C310" s="341">
        <v>0</v>
      </c>
      <c r="D310" s="341">
        <v>0</v>
      </c>
      <c r="E310" s="341">
        <v>0</v>
      </c>
      <c r="F310" s="341">
        <v>0</v>
      </c>
      <c r="G310" s="341">
        <v>0</v>
      </c>
      <c r="H310" s="341">
        <v>0</v>
      </c>
      <c r="I310" s="341">
        <v>1</v>
      </c>
      <c r="J310" s="341">
        <v>0</v>
      </c>
      <c r="K310" s="341"/>
      <c r="L310" s="341" t="s">
        <v>8</v>
      </c>
      <c r="M310" s="341"/>
      <c r="N310" s="341" t="s">
        <v>1371</v>
      </c>
      <c r="O310" s="341"/>
      <c r="P310" s="341" t="s">
        <v>1723</v>
      </c>
      <c r="Q310" s="341"/>
      <c r="R310" s="341"/>
      <c r="S310" s="341" t="s">
        <v>1724</v>
      </c>
      <c r="T310" s="341" t="s">
        <v>1725</v>
      </c>
      <c r="U310" s="341" t="s">
        <v>40</v>
      </c>
      <c r="V310" s="341" t="s">
        <v>975</v>
      </c>
      <c r="W310" s="341" t="s">
        <v>46</v>
      </c>
      <c r="X310" s="341">
        <f t="shared" si="4"/>
      </c>
    </row>
    <row r="311" spans="1:24" ht="180" x14ac:dyDescent="0.2">
      <c r="A311" s="354" t="s">
        <v>790</v>
      </c>
      <c r="B311" s="353" t="s">
        <v>1024</v>
      </c>
      <c r="C311" s="341">
        <v>0</v>
      </c>
      <c r="D311" s="341">
        <v>0</v>
      </c>
      <c r="E311" s="341">
        <v>0</v>
      </c>
      <c r="F311" s="341">
        <v>0</v>
      </c>
      <c r="G311" s="341">
        <v>0</v>
      </c>
      <c r="H311" s="341">
        <v>0</v>
      </c>
      <c r="I311" s="341">
        <v>1</v>
      </c>
      <c r="J311" s="341">
        <v>0</v>
      </c>
      <c r="K311" s="341"/>
      <c r="L311" s="341" t="s">
        <v>8</v>
      </c>
      <c r="M311" s="341"/>
      <c r="N311" s="341" t="s">
        <v>1371</v>
      </c>
      <c r="O311" s="341"/>
      <c r="P311" s="341" t="s">
        <v>1727</v>
      </c>
      <c r="Q311" s="341" t="s">
        <v>1726</v>
      </c>
      <c r="R311" s="341"/>
      <c r="S311" s="341" t="s">
        <v>1728</v>
      </c>
      <c r="T311" s="341" t="s">
        <v>1729</v>
      </c>
      <c r="U311" s="341" t="s">
        <v>40</v>
      </c>
      <c r="V311" s="341" t="s">
        <v>975</v>
      </c>
      <c r="W311" s="341" t="s">
        <v>46</v>
      </c>
      <c r="X311" s="341">
        <f t="shared" si="4"/>
      </c>
    </row>
    <row r="312" spans="1:24" ht="195" x14ac:dyDescent="0.2">
      <c r="A312" s="354" t="s">
        <v>791</v>
      </c>
      <c r="B312" s="353" t="s">
        <v>1436</v>
      </c>
      <c r="C312" s="341">
        <v>0</v>
      </c>
      <c r="D312" s="341">
        <v>0</v>
      </c>
      <c r="E312" s="341">
        <v>0</v>
      </c>
      <c r="F312" s="341">
        <v>0</v>
      </c>
      <c r="G312" s="341">
        <v>0</v>
      </c>
      <c r="H312" s="341">
        <v>0</v>
      </c>
      <c r="I312" s="341">
        <v>1</v>
      </c>
      <c r="J312" s="341">
        <v>0</v>
      </c>
      <c r="K312" s="341"/>
      <c r="L312" s="341" t="s">
        <v>8</v>
      </c>
      <c r="M312" s="341"/>
      <c r="N312" s="341" t="s">
        <v>1371</v>
      </c>
      <c r="O312" s="341"/>
      <c r="P312" s="341" t="s">
        <v>1902</v>
      </c>
      <c r="Q312" s="341" t="s">
        <v>1730</v>
      </c>
      <c r="R312" s="341"/>
      <c r="S312" s="341" t="s">
        <v>1731</v>
      </c>
      <c r="T312" s="341" t="s">
        <v>1732</v>
      </c>
      <c r="U312" s="341" t="s">
        <v>40</v>
      </c>
      <c r="V312" s="341" t="s">
        <v>975</v>
      </c>
      <c r="W312" s="341" t="s">
        <v>46</v>
      </c>
      <c r="X312" s="341">
        <f t="shared" si="4"/>
      </c>
    </row>
    <row r="313" spans="1:24" ht="105" x14ac:dyDescent="0.2">
      <c r="A313" s="354" t="s">
        <v>792</v>
      </c>
      <c r="B313" s="353" t="s">
        <v>1437</v>
      </c>
      <c r="C313" s="341">
        <v>0</v>
      </c>
      <c r="D313" s="341">
        <v>0</v>
      </c>
      <c r="E313" s="341">
        <v>0</v>
      </c>
      <c r="F313" s="341">
        <v>0</v>
      </c>
      <c r="G313" s="341">
        <v>0</v>
      </c>
      <c r="H313" s="341">
        <v>0</v>
      </c>
      <c r="I313" s="341">
        <v>1</v>
      </c>
      <c r="J313" s="341">
        <v>0</v>
      </c>
      <c r="K313" s="341"/>
      <c r="L313" s="341" t="s">
        <v>8</v>
      </c>
      <c r="M313" s="341"/>
      <c r="N313" s="341" t="s">
        <v>1371</v>
      </c>
      <c r="O313" s="341"/>
      <c r="P313" s="341" t="s">
        <v>1903</v>
      </c>
      <c r="Q313" s="341" t="s">
        <v>1733</v>
      </c>
      <c r="R313" s="341" t="s">
        <v>1526</v>
      </c>
      <c r="S313" s="341" t="s">
        <v>1734</v>
      </c>
      <c r="T313" s="341"/>
      <c r="U313" s="341" t="s">
        <v>40</v>
      </c>
      <c r="V313" s="341" t="s">
        <v>975</v>
      </c>
      <c r="W313" s="341" t="s">
        <v>46</v>
      </c>
      <c r="X313" s="341">
        <f t="shared" si="4"/>
      </c>
    </row>
    <row r="314" spans="1:24" ht="195" x14ac:dyDescent="0.2">
      <c r="A314" s="224" t="s">
        <v>793</v>
      </c>
      <c r="B314" s="341" t="s">
        <v>1438</v>
      </c>
      <c r="C314" s="341">
        <v>0</v>
      </c>
      <c r="D314" s="341">
        <v>0</v>
      </c>
      <c r="E314" s="341">
        <v>0</v>
      </c>
      <c r="F314" s="341">
        <v>0</v>
      </c>
      <c r="G314" s="341">
        <v>0</v>
      </c>
      <c r="H314" s="341">
        <v>0</v>
      </c>
      <c r="I314" s="341">
        <v>1</v>
      </c>
      <c r="J314" s="341">
        <v>0</v>
      </c>
      <c r="K314" s="341"/>
      <c r="L314" s="341" t="s">
        <v>8</v>
      </c>
      <c r="M314" s="341"/>
      <c r="N314" s="341" t="s">
        <v>1371</v>
      </c>
      <c r="O314" s="341" t="s">
        <v>1735</v>
      </c>
      <c r="P314" s="341" t="s">
        <v>1736</v>
      </c>
      <c r="Q314" s="341"/>
      <c r="R314" s="341"/>
      <c r="S314" s="341" t="s">
        <v>1737</v>
      </c>
      <c r="T314" s="341" t="s">
        <v>1738</v>
      </c>
      <c r="U314" s="341" t="s">
        <v>40</v>
      </c>
      <c r="V314" s="341" t="s">
        <v>975</v>
      </c>
      <c r="W314" s="341" t="s">
        <v>41</v>
      </c>
      <c r="X314" s="341">
        <f t="shared" si="4"/>
      </c>
    </row>
    <row r="315" spans="1:24" ht="300" x14ac:dyDescent="0.2">
      <c r="A315" s="354" t="s">
        <v>794</v>
      </c>
      <c r="B315" s="353" t="s">
        <v>1196</v>
      </c>
      <c r="C315" s="341">
        <v>0</v>
      </c>
      <c r="D315" s="341">
        <v>0</v>
      </c>
      <c r="E315" s="341">
        <v>0</v>
      </c>
      <c r="F315" s="341">
        <v>0</v>
      </c>
      <c r="G315" s="341">
        <v>0</v>
      </c>
      <c r="H315" s="341">
        <v>0</v>
      </c>
      <c r="I315" s="341">
        <v>1</v>
      </c>
      <c r="J315" s="341">
        <v>0</v>
      </c>
      <c r="K315" s="341"/>
      <c r="L315" s="341" t="s">
        <v>8</v>
      </c>
      <c r="M315" s="341"/>
      <c r="N315" s="341" t="s">
        <v>1371</v>
      </c>
      <c r="O315" s="341" t="s">
        <v>1739</v>
      </c>
      <c r="P315" s="341" t="s">
        <v>1741</v>
      </c>
      <c r="Q315" s="341" t="s">
        <v>1740</v>
      </c>
      <c r="R315" s="341" t="s">
        <v>1526</v>
      </c>
      <c r="S315" s="341" t="s">
        <v>1742</v>
      </c>
      <c r="T315" s="341" t="s">
        <v>1743</v>
      </c>
      <c r="U315" s="341" t="s">
        <v>40</v>
      </c>
      <c r="V315" s="341" t="s">
        <v>975</v>
      </c>
      <c r="W315" s="341" t="s">
        <v>46</v>
      </c>
      <c r="X315" s="341">
        <f t="shared" si="4"/>
      </c>
    </row>
    <row r="316" spans="1:24" ht="300" x14ac:dyDescent="0.2">
      <c r="A316" s="354" t="s">
        <v>795</v>
      </c>
      <c r="B316" s="353" t="s">
        <v>1197</v>
      </c>
      <c r="C316" s="341">
        <v>0</v>
      </c>
      <c r="D316" s="341">
        <v>0</v>
      </c>
      <c r="E316" s="341">
        <v>0</v>
      </c>
      <c r="F316" s="341">
        <v>0</v>
      </c>
      <c r="G316" s="341">
        <v>0</v>
      </c>
      <c r="H316" s="341">
        <v>0</v>
      </c>
      <c r="I316" s="341">
        <v>1</v>
      </c>
      <c r="J316" s="341">
        <v>0</v>
      </c>
      <c r="K316" s="341"/>
      <c r="L316" s="341" t="s">
        <v>8</v>
      </c>
      <c r="M316" s="341"/>
      <c r="N316" s="341" t="s">
        <v>1371</v>
      </c>
      <c r="O316" s="341" t="s">
        <v>1744</v>
      </c>
      <c r="P316" s="341" t="s">
        <v>1746</v>
      </c>
      <c r="Q316" s="341" t="s">
        <v>1745</v>
      </c>
      <c r="R316" s="341"/>
      <c r="S316" s="341" t="s">
        <v>1747</v>
      </c>
      <c r="T316" s="341" t="s">
        <v>1748</v>
      </c>
      <c r="U316" s="341" t="s">
        <v>148</v>
      </c>
      <c r="V316" s="341" t="s">
        <v>975</v>
      </c>
      <c r="W316" s="341" t="s">
        <v>46</v>
      </c>
      <c r="X316" s="341">
        <f t="shared" si="4"/>
      </c>
    </row>
    <row r="317" spans="1:24" ht="225" x14ac:dyDescent="0.2">
      <c r="A317" s="354" t="s">
        <v>796</v>
      </c>
      <c r="B317" s="353" t="s">
        <v>1198</v>
      </c>
      <c r="C317" s="341">
        <v>0</v>
      </c>
      <c r="D317" s="341">
        <v>0</v>
      </c>
      <c r="E317" s="341">
        <v>0</v>
      </c>
      <c r="F317" s="341">
        <v>0</v>
      </c>
      <c r="G317" s="341">
        <v>0</v>
      </c>
      <c r="H317" s="341">
        <v>0</v>
      </c>
      <c r="I317" s="341">
        <v>1</v>
      </c>
      <c r="J317" s="341">
        <v>0</v>
      </c>
      <c r="K317" s="341"/>
      <c r="L317" s="341" t="s">
        <v>8</v>
      </c>
      <c r="M317" s="341"/>
      <c r="N317" s="341" t="s">
        <v>1371</v>
      </c>
      <c r="O317" s="341" t="s">
        <v>1749</v>
      </c>
      <c r="P317" s="341" t="s">
        <v>1751</v>
      </c>
      <c r="Q317" s="341" t="s">
        <v>1750</v>
      </c>
      <c r="R317" s="341"/>
      <c r="S317" s="341" t="s">
        <v>1752</v>
      </c>
      <c r="T317" s="341" t="s">
        <v>1753</v>
      </c>
      <c r="U317" s="341" t="s">
        <v>40</v>
      </c>
      <c r="V317" s="341" t="s">
        <v>975</v>
      </c>
      <c r="W317" s="341" t="s">
        <v>46</v>
      </c>
      <c r="X317" s="341">
        <f t="shared" si="4"/>
      </c>
    </row>
    <row r="318" spans="1:24" ht="195" x14ac:dyDescent="0.2">
      <c r="A318" s="224" t="s">
        <v>797</v>
      </c>
      <c r="B318" s="341" t="s">
        <v>1133</v>
      </c>
      <c r="C318" s="341">
        <v>0</v>
      </c>
      <c r="D318" s="341">
        <v>0</v>
      </c>
      <c r="E318" s="341">
        <v>0</v>
      </c>
      <c r="F318" s="341">
        <v>0</v>
      </c>
      <c r="G318" s="341">
        <v>0</v>
      </c>
      <c r="H318" s="341">
        <v>0</v>
      </c>
      <c r="I318" s="341">
        <v>1</v>
      </c>
      <c r="J318" s="341">
        <v>0</v>
      </c>
      <c r="K318" s="341"/>
      <c r="L318" s="341" t="s">
        <v>1004</v>
      </c>
      <c r="M318" s="341"/>
      <c r="N318" s="341" t="s">
        <v>1371</v>
      </c>
      <c r="O318" s="341" t="s">
        <v>1754</v>
      </c>
      <c r="P318" s="341"/>
      <c r="Q318" s="341"/>
      <c r="R318" s="341"/>
      <c r="S318" s="341" t="s">
        <v>1755</v>
      </c>
      <c r="T318" s="341" t="s">
        <v>1756</v>
      </c>
      <c r="U318" s="341" t="s">
        <v>1004</v>
      </c>
      <c r="V318" s="341" t="s">
        <v>975</v>
      </c>
      <c r="W318" s="341"/>
      <c r="X318" s="341"/>
    </row>
    <row r="319" spans="1:24" ht="225" x14ac:dyDescent="0.2">
      <c r="A319" s="224" t="s">
        <v>798</v>
      </c>
      <c r="B319" s="341" t="s">
        <v>1134</v>
      </c>
      <c r="C319" s="341">
        <v>0</v>
      </c>
      <c r="D319" s="341">
        <v>0</v>
      </c>
      <c r="E319" s="341">
        <v>0</v>
      </c>
      <c r="F319" s="341">
        <v>0</v>
      </c>
      <c r="G319" s="341">
        <v>0</v>
      </c>
      <c r="H319" s="341">
        <v>0</v>
      </c>
      <c r="I319" s="341">
        <v>1</v>
      </c>
      <c r="J319" s="341">
        <v>0</v>
      </c>
      <c r="K319" s="341"/>
      <c r="L319" s="341" t="s">
        <v>8</v>
      </c>
      <c r="M319" s="341"/>
      <c r="N319" s="341" t="s">
        <v>1371</v>
      </c>
      <c r="O319" s="341"/>
      <c r="P319" s="341" t="s">
        <v>1758</v>
      </c>
      <c r="Q319" s="341" t="s">
        <v>1757</v>
      </c>
      <c r="R319" s="341"/>
      <c r="S319" s="341" t="s">
        <v>1759</v>
      </c>
      <c r="T319" s="341" t="s">
        <v>1760</v>
      </c>
      <c r="U319" s="341" t="s">
        <v>40</v>
      </c>
      <c r="V319" s="341" t="s">
        <v>975</v>
      </c>
      <c r="W319" s="341" t="s">
        <v>75</v>
      </c>
      <c r="X319" s="341">
        <f t="shared" ref="X319:X334" si="5">IF($W319="Critical Importance",20,IF($W319="Minor Importance",5,10))</f>
      </c>
    </row>
    <row r="320" spans="1:24" ht="342" x14ac:dyDescent="0.2">
      <c r="A320" s="354" t="s">
        <v>799</v>
      </c>
      <c r="B320" s="353" t="s">
        <v>1472</v>
      </c>
      <c r="C320" s="341">
        <v>0</v>
      </c>
      <c r="D320" s="341">
        <v>0</v>
      </c>
      <c r="E320" s="341">
        <v>0</v>
      </c>
      <c r="F320" s="341">
        <v>0</v>
      </c>
      <c r="G320" s="341">
        <v>0</v>
      </c>
      <c r="H320" s="341">
        <v>0</v>
      </c>
      <c r="I320" s="341">
        <v>1</v>
      </c>
      <c r="J320" s="341">
        <v>0</v>
      </c>
      <c r="K320" s="341"/>
      <c r="L320" s="341" t="s">
        <v>8</v>
      </c>
      <c r="M320" s="341"/>
      <c r="N320" s="341" t="s">
        <v>1372</v>
      </c>
      <c r="O320" s="341" t="s">
        <v>1761</v>
      </c>
      <c r="P320" s="341" t="s">
        <v>1763</v>
      </c>
      <c r="Q320" s="341" t="s">
        <v>1762</v>
      </c>
      <c r="R320" s="341"/>
      <c r="S320" s="341" t="s">
        <v>1764</v>
      </c>
      <c r="T320" s="341" t="s">
        <v>1765</v>
      </c>
      <c r="U320" s="341" t="s">
        <v>40</v>
      </c>
      <c r="V320" s="341" t="s">
        <v>975</v>
      </c>
      <c r="W320" s="341" t="s">
        <v>46</v>
      </c>
      <c r="X320" s="341">
        <f t="shared" si="5"/>
      </c>
    </row>
    <row r="321" spans="1:24" ht="135" x14ac:dyDescent="0.2">
      <c r="A321" s="354" t="s">
        <v>800</v>
      </c>
      <c r="B321" s="353" t="s">
        <v>1025</v>
      </c>
      <c r="C321" s="341">
        <v>0</v>
      </c>
      <c r="D321" s="341">
        <v>0</v>
      </c>
      <c r="E321" s="341">
        <v>0</v>
      </c>
      <c r="F321" s="341">
        <v>0</v>
      </c>
      <c r="G321" s="341">
        <v>0</v>
      </c>
      <c r="H321" s="341">
        <v>0</v>
      </c>
      <c r="I321" s="341">
        <v>1</v>
      </c>
      <c r="J321" s="341">
        <v>0</v>
      </c>
      <c r="K321" s="341"/>
      <c r="L321" s="341" t="s">
        <v>8</v>
      </c>
      <c r="M321" s="341"/>
      <c r="N321" s="341" t="s">
        <v>1372</v>
      </c>
      <c r="O321" s="341"/>
      <c r="P321" s="341" t="s">
        <v>1767</v>
      </c>
      <c r="Q321" s="341" t="s">
        <v>1766</v>
      </c>
      <c r="R321" s="341"/>
      <c r="S321" s="341" t="s">
        <v>1768</v>
      </c>
      <c r="T321" s="341" t="s">
        <v>1769</v>
      </c>
      <c r="U321" s="341" t="s">
        <v>40</v>
      </c>
      <c r="V321" s="341" t="s">
        <v>975</v>
      </c>
      <c r="W321" s="341" t="s">
        <v>46</v>
      </c>
      <c r="X321" s="341">
        <f t="shared" si="5"/>
      </c>
    </row>
    <row r="322" spans="1:24" ht="144.75" customHeight="1" x14ac:dyDescent="0.2">
      <c r="A322" s="224" t="s">
        <v>801</v>
      </c>
      <c r="B322" s="341" t="s">
        <v>1199</v>
      </c>
      <c r="C322" s="341">
        <v>0</v>
      </c>
      <c r="D322" s="341">
        <v>0</v>
      </c>
      <c r="E322" s="341">
        <v>0</v>
      </c>
      <c r="F322" s="341">
        <v>0</v>
      </c>
      <c r="G322" s="341">
        <v>0</v>
      </c>
      <c r="H322" s="341">
        <v>0</v>
      </c>
      <c r="I322" s="341">
        <v>1</v>
      </c>
      <c r="J322" s="341">
        <v>0</v>
      </c>
      <c r="K322" s="341"/>
      <c r="L322" s="341" t="s">
        <v>8</v>
      </c>
      <c r="M322" s="341"/>
      <c r="N322" s="341" t="s">
        <v>1372</v>
      </c>
      <c r="O322" s="341"/>
      <c r="P322" s="341" t="s">
        <v>1770</v>
      </c>
      <c r="Q322" s="341" t="s">
        <v>1904</v>
      </c>
      <c r="R322" s="341"/>
      <c r="S322" s="341" t="s">
        <v>1771</v>
      </c>
      <c r="T322" s="341" t="s">
        <v>1772</v>
      </c>
      <c r="U322" s="341" t="s">
        <v>40</v>
      </c>
      <c r="V322" s="341" t="s">
        <v>975</v>
      </c>
      <c r="W322" s="341" t="s">
        <v>75</v>
      </c>
      <c r="X322" s="341">
        <f t="shared" si="5"/>
      </c>
    </row>
    <row r="323" spans="1:24" ht="90" customHeight="1" x14ac:dyDescent="0.2">
      <c r="A323" s="224" t="s">
        <v>803</v>
      </c>
      <c r="B323" s="341" t="s">
        <v>804</v>
      </c>
      <c r="C323" s="341">
        <v>0</v>
      </c>
      <c r="D323" s="341">
        <v>0</v>
      </c>
      <c r="E323" s="341">
        <v>0</v>
      </c>
      <c r="F323" s="341">
        <v>0</v>
      </c>
      <c r="G323" s="341">
        <v>0</v>
      </c>
      <c r="H323" s="341">
        <v>0</v>
      </c>
      <c r="I323" s="341">
        <v>1</v>
      </c>
      <c r="J323" s="341">
        <v>0</v>
      </c>
      <c r="K323" s="341"/>
      <c r="L323" s="341" t="s">
        <v>8</v>
      </c>
      <c r="M323" s="341"/>
      <c r="N323" s="341" t="s">
        <v>1372</v>
      </c>
      <c r="O323" s="341"/>
      <c r="P323" s="341" t="s">
        <v>1774</v>
      </c>
      <c r="Q323" s="341" t="s">
        <v>1773</v>
      </c>
      <c r="R323" s="341"/>
      <c r="S323" s="341" t="s">
        <v>1775</v>
      </c>
      <c r="T323" s="341" t="s">
        <v>1776</v>
      </c>
      <c r="U323" s="341" t="s">
        <v>40</v>
      </c>
      <c r="V323" s="341" t="s">
        <v>975</v>
      </c>
      <c r="W323" s="341" t="s">
        <v>75</v>
      </c>
      <c r="X323" s="341">
        <f t="shared" si="5"/>
      </c>
    </row>
    <row r="324" spans="1:24" ht="90" customHeight="1" x14ac:dyDescent="0.2">
      <c r="A324" s="224" t="s">
        <v>805</v>
      </c>
      <c r="B324" s="341" t="s">
        <v>802</v>
      </c>
      <c r="C324" s="341">
        <v>0</v>
      </c>
      <c r="D324" s="341">
        <v>0</v>
      </c>
      <c r="E324" s="341">
        <v>0</v>
      </c>
      <c r="F324" s="341">
        <v>0</v>
      </c>
      <c r="G324" s="341">
        <v>0</v>
      </c>
      <c r="H324" s="341">
        <v>0</v>
      </c>
      <c r="I324" s="341">
        <v>1</v>
      </c>
      <c r="J324" s="341">
        <v>0</v>
      </c>
      <c r="K324" s="341"/>
      <c r="L324" s="341" t="s">
        <v>8</v>
      </c>
      <c r="M324" s="341"/>
      <c r="N324" s="341" t="s">
        <v>1372</v>
      </c>
      <c r="O324" s="341"/>
      <c r="P324" s="341" t="s">
        <v>1778</v>
      </c>
      <c r="Q324" s="341" t="s">
        <v>1777</v>
      </c>
      <c r="R324" s="341"/>
      <c r="S324" s="341" t="s">
        <v>1775</v>
      </c>
      <c r="T324" s="341"/>
      <c r="U324" s="341" t="s">
        <v>40</v>
      </c>
      <c r="V324" s="341" t="s">
        <v>975</v>
      </c>
      <c r="W324" s="341" t="s">
        <v>41</v>
      </c>
      <c r="X324" s="341">
        <f t="shared" si="5"/>
      </c>
    </row>
    <row r="325" spans="1:24" ht="90" customHeight="1" x14ac:dyDescent="0.2">
      <c r="A325" s="224" t="s">
        <v>806</v>
      </c>
      <c r="B325" s="341" t="s">
        <v>1135</v>
      </c>
      <c r="C325" s="341">
        <v>0</v>
      </c>
      <c r="D325" s="341">
        <v>0</v>
      </c>
      <c r="E325" s="341">
        <v>0</v>
      </c>
      <c r="F325" s="341">
        <v>0</v>
      </c>
      <c r="G325" s="341">
        <v>0</v>
      </c>
      <c r="H325" s="341">
        <v>0</v>
      </c>
      <c r="I325" s="341">
        <v>1</v>
      </c>
      <c r="J325" s="341">
        <v>0</v>
      </c>
      <c r="K325" s="341"/>
      <c r="L325" s="341" t="s">
        <v>8</v>
      </c>
      <c r="M325" s="341"/>
      <c r="N325" s="341" t="s">
        <v>1372</v>
      </c>
      <c r="O325" s="341"/>
      <c r="P325" s="341" t="s">
        <v>1780</v>
      </c>
      <c r="Q325" s="341" t="s">
        <v>1779</v>
      </c>
      <c r="R325" s="341"/>
      <c r="S325" s="341" t="s">
        <v>1781</v>
      </c>
      <c r="T325" s="341" t="s">
        <v>1782</v>
      </c>
      <c r="U325" s="341" t="s">
        <v>40</v>
      </c>
      <c r="V325" s="341" t="s">
        <v>975</v>
      </c>
      <c r="W325" s="341" t="s">
        <v>41</v>
      </c>
      <c r="X325" s="341">
        <f t="shared" si="5"/>
      </c>
    </row>
    <row r="326" spans="1:24" ht="105" x14ac:dyDescent="0.2">
      <c r="A326" s="224" t="s">
        <v>807</v>
      </c>
      <c r="B326" s="341" t="s">
        <v>1136</v>
      </c>
      <c r="C326" s="341">
        <v>0</v>
      </c>
      <c r="D326" s="341">
        <v>0</v>
      </c>
      <c r="E326" s="341">
        <v>0</v>
      </c>
      <c r="F326" s="341">
        <v>0</v>
      </c>
      <c r="G326" s="341">
        <v>0</v>
      </c>
      <c r="H326" s="341">
        <v>0</v>
      </c>
      <c r="I326" s="341">
        <v>1</v>
      </c>
      <c r="J326" s="341">
        <v>0</v>
      </c>
      <c r="K326" s="341"/>
      <c r="L326" s="341" t="s">
        <v>8</v>
      </c>
      <c r="M326" s="341"/>
      <c r="N326" s="341" t="s">
        <v>1372</v>
      </c>
      <c r="O326" s="341"/>
      <c r="P326" s="341" t="s">
        <v>1784</v>
      </c>
      <c r="Q326" s="341" t="s">
        <v>1783</v>
      </c>
      <c r="R326" s="341"/>
      <c r="S326" s="341" t="s">
        <v>1785</v>
      </c>
      <c r="T326" s="341" t="s">
        <v>1786</v>
      </c>
      <c r="U326" s="341" t="s">
        <v>40</v>
      </c>
      <c r="V326" s="341" t="s">
        <v>975</v>
      </c>
      <c r="W326" s="341" t="s">
        <v>41</v>
      </c>
      <c r="X326" s="341">
        <f t="shared" si="5"/>
      </c>
    </row>
    <row r="327" spans="1:24" ht="90" customHeight="1" x14ac:dyDescent="0.2">
      <c r="A327" s="224" t="s">
        <v>809</v>
      </c>
      <c r="B327" s="341" t="s">
        <v>808</v>
      </c>
      <c r="C327" s="341">
        <v>0</v>
      </c>
      <c r="D327" s="341">
        <v>0</v>
      </c>
      <c r="E327" s="341">
        <v>0</v>
      </c>
      <c r="F327" s="341">
        <v>0</v>
      </c>
      <c r="G327" s="341">
        <v>0</v>
      </c>
      <c r="H327" s="341">
        <v>0</v>
      </c>
      <c r="I327" s="341">
        <v>1</v>
      </c>
      <c r="J327" s="341">
        <v>0</v>
      </c>
      <c r="K327" s="341"/>
      <c r="L327" s="341" t="s">
        <v>8</v>
      </c>
      <c r="M327" s="341"/>
      <c r="N327" s="341" t="s">
        <v>1372</v>
      </c>
      <c r="O327" s="341"/>
      <c r="P327" s="341" t="s">
        <v>1788</v>
      </c>
      <c r="Q327" s="341" t="s">
        <v>1787</v>
      </c>
      <c r="R327" s="341"/>
      <c r="S327" s="341" t="s">
        <v>1789</v>
      </c>
      <c r="T327" s="341" t="s">
        <v>1790</v>
      </c>
      <c r="U327" s="341" t="s">
        <v>40</v>
      </c>
      <c r="V327" s="341" t="s">
        <v>975</v>
      </c>
      <c r="W327" s="341" t="s">
        <v>41</v>
      </c>
      <c r="X327" s="341">
        <f t="shared" si="5"/>
      </c>
    </row>
    <row r="328" spans="1:24" ht="90" customHeight="1" x14ac:dyDescent="0.2">
      <c r="A328" s="354" t="s">
        <v>810</v>
      </c>
      <c r="B328" s="353" t="s">
        <v>1200</v>
      </c>
      <c r="C328" s="341">
        <v>0</v>
      </c>
      <c r="D328" s="341">
        <v>0</v>
      </c>
      <c r="E328" s="341">
        <v>0</v>
      </c>
      <c r="F328" s="341">
        <v>0</v>
      </c>
      <c r="G328" s="341">
        <v>0</v>
      </c>
      <c r="H328" s="341">
        <v>0</v>
      </c>
      <c r="I328" s="341">
        <v>1</v>
      </c>
      <c r="J328" s="341">
        <v>0</v>
      </c>
      <c r="K328" s="341"/>
      <c r="L328" s="341" t="s">
        <v>8</v>
      </c>
      <c r="M328" s="341"/>
      <c r="N328" s="341" t="s">
        <v>1372</v>
      </c>
      <c r="O328" s="341"/>
      <c r="P328" s="341" t="s">
        <v>1905</v>
      </c>
      <c r="Q328" s="341" t="s">
        <v>1791</v>
      </c>
      <c r="R328" s="341"/>
      <c r="S328" s="341" t="s">
        <v>1792</v>
      </c>
      <c r="T328" s="341" t="s">
        <v>1793</v>
      </c>
      <c r="U328" s="341" t="s">
        <v>40</v>
      </c>
      <c r="V328" s="341" t="s">
        <v>975</v>
      </c>
      <c r="W328" s="341" t="s">
        <v>46</v>
      </c>
      <c r="X328" s="341">
        <f t="shared" si="5"/>
      </c>
    </row>
    <row r="329" spans="1:24" ht="150" x14ac:dyDescent="0.2">
      <c r="A329" s="354" t="s">
        <v>811</v>
      </c>
      <c r="B329" s="353" t="s">
        <v>1201</v>
      </c>
      <c r="C329" s="341">
        <v>0</v>
      </c>
      <c r="D329" s="341">
        <v>0</v>
      </c>
      <c r="E329" s="341">
        <v>0</v>
      </c>
      <c r="F329" s="341">
        <v>0</v>
      </c>
      <c r="G329" s="341">
        <v>0</v>
      </c>
      <c r="H329" s="341">
        <v>0</v>
      </c>
      <c r="I329" s="341">
        <v>1</v>
      </c>
      <c r="J329" s="341">
        <v>0</v>
      </c>
      <c r="K329" s="341"/>
      <c r="L329" s="341" t="s">
        <v>8</v>
      </c>
      <c r="M329" s="341"/>
      <c r="N329" s="341" t="s">
        <v>1373</v>
      </c>
      <c r="O329" s="341"/>
      <c r="P329" s="341" t="s">
        <v>1795</v>
      </c>
      <c r="Q329" s="341" t="s">
        <v>1794</v>
      </c>
      <c r="R329" s="341"/>
      <c r="S329" s="341" t="s">
        <v>1796</v>
      </c>
      <c r="T329" s="341" t="s">
        <v>1797</v>
      </c>
      <c r="U329" s="341" t="s">
        <v>40</v>
      </c>
      <c r="V329" s="341" t="s">
        <v>975</v>
      </c>
      <c r="W329" s="341" t="s">
        <v>46</v>
      </c>
      <c r="X329" s="341">
        <f t="shared" si="5"/>
      </c>
    </row>
    <row r="330" spans="1:24" ht="90" customHeight="1" x14ac:dyDescent="0.2">
      <c r="A330" s="354" t="s">
        <v>812</v>
      </c>
      <c r="B330" s="353" t="s">
        <v>1202</v>
      </c>
      <c r="C330" s="341">
        <v>0</v>
      </c>
      <c r="D330" s="341">
        <v>0</v>
      </c>
      <c r="E330" s="341">
        <v>0</v>
      </c>
      <c r="F330" s="341">
        <v>0</v>
      </c>
      <c r="G330" s="341">
        <v>0</v>
      </c>
      <c r="H330" s="341">
        <v>0</v>
      </c>
      <c r="I330" s="341">
        <v>1</v>
      </c>
      <c r="J330" s="341">
        <v>0</v>
      </c>
      <c r="K330" s="341"/>
      <c r="L330" s="341" t="s">
        <v>8</v>
      </c>
      <c r="M330" s="341"/>
      <c r="N330" s="341" t="s">
        <v>1373</v>
      </c>
      <c r="O330" s="341"/>
      <c r="P330" s="341" t="s">
        <v>1799</v>
      </c>
      <c r="Q330" s="341" t="s">
        <v>1798</v>
      </c>
      <c r="R330" s="341"/>
      <c r="S330" s="341" t="s">
        <v>1800</v>
      </c>
      <c r="T330" s="341" t="s">
        <v>1801</v>
      </c>
      <c r="U330" s="341" t="s">
        <v>40</v>
      </c>
      <c r="V330" s="341" t="s">
        <v>975</v>
      </c>
      <c r="W330" s="341" t="s">
        <v>46</v>
      </c>
      <c r="X330" s="341">
        <f t="shared" si="5"/>
      </c>
    </row>
    <row r="331" spans="1:24" ht="90" customHeight="1" x14ac:dyDescent="0.2">
      <c r="A331" s="354" t="s">
        <v>813</v>
      </c>
      <c r="B331" s="353" t="s">
        <v>1137</v>
      </c>
      <c r="C331" s="341">
        <v>0</v>
      </c>
      <c r="D331" s="341">
        <v>0</v>
      </c>
      <c r="E331" s="341">
        <v>0</v>
      </c>
      <c r="F331" s="341">
        <v>0</v>
      </c>
      <c r="G331" s="341">
        <v>0</v>
      </c>
      <c r="H331" s="341">
        <v>0</v>
      </c>
      <c r="I331" s="341">
        <v>1</v>
      </c>
      <c r="J331" s="341">
        <v>0</v>
      </c>
      <c r="K331" s="341"/>
      <c r="L331" s="341" t="s">
        <v>8</v>
      </c>
      <c r="M331" s="341"/>
      <c r="N331" s="341" t="s">
        <v>1374</v>
      </c>
      <c r="O331" s="341"/>
      <c r="P331" s="341" t="s">
        <v>1803</v>
      </c>
      <c r="Q331" s="341" t="s">
        <v>1802</v>
      </c>
      <c r="R331" s="341"/>
      <c r="S331" s="341" t="s">
        <v>1804</v>
      </c>
      <c r="T331" s="341" t="s">
        <v>1805</v>
      </c>
      <c r="U331" s="341" t="s">
        <v>40</v>
      </c>
      <c r="V331" s="341" t="s">
        <v>975</v>
      </c>
      <c r="W331" s="341" t="s">
        <v>46</v>
      </c>
      <c r="X331" s="341">
        <f t="shared" si="5"/>
      </c>
    </row>
    <row r="332" spans="1:24" ht="90" customHeight="1" x14ac:dyDescent="0.2">
      <c r="A332" s="224" t="s">
        <v>814</v>
      </c>
      <c r="B332" s="341" t="s">
        <v>1203</v>
      </c>
      <c r="C332" s="341">
        <v>0</v>
      </c>
      <c r="D332" s="341">
        <v>0</v>
      </c>
      <c r="E332" s="341">
        <v>0</v>
      </c>
      <c r="F332" s="341">
        <v>0</v>
      </c>
      <c r="G332" s="341">
        <v>0</v>
      </c>
      <c r="H332" s="341">
        <v>0</v>
      </c>
      <c r="I332" s="341">
        <v>1</v>
      </c>
      <c r="J332" s="341">
        <v>0</v>
      </c>
      <c r="K332" s="341"/>
      <c r="L332" s="341" t="s">
        <v>8</v>
      </c>
      <c r="M332" s="341"/>
      <c r="N332" s="341" t="s">
        <v>1373</v>
      </c>
      <c r="O332" s="341"/>
      <c r="P332" s="341" t="s">
        <v>1807</v>
      </c>
      <c r="Q332" s="341" t="s">
        <v>1806</v>
      </c>
      <c r="R332" s="341"/>
      <c r="S332" s="341" t="s">
        <v>1808</v>
      </c>
      <c r="T332" s="341" t="s">
        <v>1809</v>
      </c>
      <c r="U332" s="341" t="s">
        <v>40</v>
      </c>
      <c r="V332" s="341" t="s">
        <v>975</v>
      </c>
      <c r="W332" s="341" t="s">
        <v>75</v>
      </c>
      <c r="X332" s="341">
        <f t="shared" si="5"/>
      </c>
    </row>
    <row r="333" spans="1:24" ht="90" customHeight="1" x14ac:dyDescent="0.2">
      <c r="A333" s="224" t="s">
        <v>815</v>
      </c>
      <c r="B333" s="341" t="s">
        <v>819</v>
      </c>
      <c r="C333" s="341">
        <v>0</v>
      </c>
      <c r="D333" s="341">
        <v>0</v>
      </c>
      <c r="E333" s="341">
        <v>0</v>
      </c>
      <c r="F333" s="341">
        <v>0</v>
      </c>
      <c r="G333" s="341">
        <v>0</v>
      </c>
      <c r="H333" s="341">
        <v>0</v>
      </c>
      <c r="I333" s="341">
        <v>1</v>
      </c>
      <c r="J333" s="341">
        <v>0</v>
      </c>
      <c r="K333" s="341"/>
      <c r="L333" s="341" t="s">
        <v>8</v>
      </c>
      <c r="M333" s="341"/>
      <c r="N333" s="341" t="s">
        <v>1373</v>
      </c>
      <c r="O333" s="341"/>
      <c r="P333" s="341" t="s">
        <v>1811</v>
      </c>
      <c r="Q333" s="341" t="s">
        <v>1810</v>
      </c>
      <c r="R333" s="341"/>
      <c r="S333" s="341" t="s">
        <v>1812</v>
      </c>
      <c r="T333" s="341" t="s">
        <v>1813</v>
      </c>
      <c r="U333" s="341" t="s">
        <v>40</v>
      </c>
      <c r="V333" s="341" t="s">
        <v>975</v>
      </c>
      <c r="W333" s="341" t="s">
        <v>75</v>
      </c>
      <c r="X333" s="341">
        <f t="shared" si="5"/>
      </c>
    </row>
    <row r="334" spans="1:24" ht="90" customHeight="1" x14ac:dyDescent="0.2">
      <c r="A334" s="224" t="s">
        <v>818</v>
      </c>
      <c r="B334" s="341" t="s">
        <v>816</v>
      </c>
      <c r="C334" s="341">
        <v>0</v>
      </c>
      <c r="D334" s="341">
        <v>0</v>
      </c>
      <c r="E334" s="341">
        <v>0</v>
      </c>
      <c r="F334" s="341">
        <v>0</v>
      </c>
      <c r="G334" s="341">
        <v>0</v>
      </c>
      <c r="H334" s="341">
        <v>0</v>
      </c>
      <c r="I334" s="341">
        <v>1</v>
      </c>
      <c r="J334" s="341">
        <v>0</v>
      </c>
      <c r="K334" s="341"/>
      <c r="L334" s="341" t="s">
        <v>8</v>
      </c>
      <c r="M334" s="341" t="s">
        <v>975</v>
      </c>
      <c r="N334" s="341" t="s">
        <v>1373</v>
      </c>
      <c r="O334" s="341" t="s">
        <v>817</v>
      </c>
      <c r="P334" s="341" t="s">
        <v>975</v>
      </c>
      <c r="Q334" s="341" t="s">
        <v>975</v>
      </c>
      <c r="R334" s="341"/>
      <c r="S334" s="341" t="s">
        <v>975</v>
      </c>
      <c r="T334" s="341" t="s">
        <v>975</v>
      </c>
      <c r="U334" s="341" t="s">
        <v>40</v>
      </c>
      <c r="V334" s="341" t="s">
        <v>975</v>
      </c>
      <c r="W334" s="341" t="s">
        <v>41</v>
      </c>
      <c r="X334" s="341">
        <f t="shared" si="5"/>
      </c>
    </row>
    <row r="335" spans="1:24" ht="14" x14ac:dyDescent="0.2">
      <c r="A335" s="224"/>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row>
    <row r="336" spans="1:24" ht="14" x14ac:dyDescent="0.2">
      <c r="A336" s="224"/>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row>
    <row r="337" spans="1:24" ht="14" x14ac:dyDescent="0.2">
      <c r="A337" s="224"/>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row>
    <row r="338" spans="1:24" ht="14" x14ac:dyDescent="0.2">
      <c r="A338" s="224"/>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row>
    <row r="339" spans="1:24" ht="14" x14ac:dyDescent="0.2">
      <c r="A339" s="224"/>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row>
    <row r="340" spans="1:24" ht="14" x14ac:dyDescent="0.2">
      <c r="A340" s="224"/>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row>
    <row r="341" spans="1:24" ht="14" x14ac:dyDescent="0.2">
      <c r="A341" s="224"/>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row>
    <row r="342" spans="1:24" ht="14" x14ac:dyDescent="0.2">
      <c r="A342" s="224"/>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row>
    <row r="343" spans="1:24" ht="14" x14ac:dyDescent="0.2">
      <c r="A343" s="224"/>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row>
    <row r="344" spans="1:24" ht="14" x14ac:dyDescent="0.2">
      <c r="A344" s="224"/>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row>
    <row r="345" spans="1:24" ht="14" x14ac:dyDescent="0.2">
      <c r="A345" s="224"/>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row>
    <row r="346" spans="1:24" ht="14" x14ac:dyDescent="0.2">
      <c r="A346" s="224"/>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row>
    <row r="347" spans="1:24" ht="14" x14ac:dyDescent="0.2">
      <c r="A347" s="224"/>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row>
    <row r="348" spans="1:24" ht="14" x14ac:dyDescent="0.2">
      <c r="A348" s="224"/>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row>
    <row r="349" spans="1:24" ht="14" x14ac:dyDescent="0.2">
      <c r="A349" s="224"/>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row>
    <row r="350" spans="1:24" ht="14" x14ac:dyDescent="0.2">
      <c r="A350" s="224"/>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row>
    <row r="351" spans="1:24" ht="14" x14ac:dyDescent="0.2">
      <c r="A351" s="224"/>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row>
    <row r="352" spans="1:24" ht="14" x14ac:dyDescent="0.2">
      <c r="A352" s="224"/>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row>
    <row r="353" spans="1:24" ht="14" x14ac:dyDescent="0.2">
      <c r="A353" s="224"/>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row>
    <row r="354" spans="1:24" ht="14" x14ac:dyDescent="0.2">
      <c r="A354" s="224"/>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row>
    <row r="355" spans="1:24" ht="14" x14ac:dyDescent="0.2">
      <c r="A355" s="224"/>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row>
    <row r="356" spans="1:24" ht="14" x14ac:dyDescent="0.2">
      <c r="A356" s="224"/>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row>
    <row r="357" spans="1:24" ht="14" x14ac:dyDescent="0.2">
      <c r="A357" s="224"/>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row>
    <row r="358" spans="1:24" ht="14" x14ac:dyDescent="0.2">
      <c r="A358" s="224"/>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row>
    <row r="359" spans="1:24" ht="14" x14ac:dyDescent="0.2">
      <c r="A359" s="224"/>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row>
    <row r="360" spans="1:24" ht="14" x14ac:dyDescent="0.2">
      <c r="A360" s="224"/>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row>
    <row r="361" spans="1:24" ht="14" x14ac:dyDescent="0.2">
      <c r="A361" s="224"/>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row>
    <row r="362" spans="1:24" ht="14" x14ac:dyDescent="0.2">
      <c r="A362" s="224"/>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row>
    <row r="363" spans="1:24" ht="14" x14ac:dyDescent="0.2">
      <c r="A363" s="224"/>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row>
    <row r="364" spans="1:24" ht="14" x14ac:dyDescent="0.2">
      <c r="A364" s="224"/>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row>
    <row r="365" spans="1:24" ht="14" x14ac:dyDescent="0.2">
      <c r="A365" s="224"/>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row>
    <row r="366" spans="1:24" ht="14" x14ac:dyDescent="0.2">
      <c r="A366" s="224"/>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row>
    <row r="367" spans="1:24" ht="14" x14ac:dyDescent="0.2">
      <c r="A367" s="224"/>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row>
    <row r="368" spans="1:24" ht="14" x14ac:dyDescent="0.2">
      <c r="A368" s="224"/>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row>
    <row r="369" spans="1:24" ht="14" x14ac:dyDescent="0.2">
      <c r="A369" s="224"/>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row>
    <row r="370" spans="1:24" ht="14" x14ac:dyDescent="0.2">
      <c r="A370" s="224"/>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row>
    <row r="371" spans="1:24" ht="14" x14ac:dyDescent="0.2">
      <c r="A371" s="224"/>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row>
    <row r="372" spans="1:24" ht="14" x14ac:dyDescent="0.2">
      <c r="A372" s="224"/>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row>
    <row r="373" spans="1:24" ht="14" x14ac:dyDescent="0.2">
      <c r="A373" s="224"/>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row>
    <row r="374" spans="1:24" ht="14" x14ac:dyDescent="0.2">
      <c r="A374" s="224"/>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row>
    <row r="375" spans="1:24" ht="14" x14ac:dyDescent="0.2">
      <c r="A375" s="224"/>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row>
    <row r="376" spans="1:24" ht="14" x14ac:dyDescent="0.2">
      <c r="A376" s="224"/>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row>
    <row r="377" spans="1:24" ht="14" x14ac:dyDescent="0.2">
      <c r="A377" s="224"/>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row>
    <row r="378" spans="1:24" ht="14" x14ac:dyDescent="0.2">
      <c r="A378" s="224"/>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row>
    <row r="379" spans="1:24" ht="14" x14ac:dyDescent="0.2">
      <c r="A379" s="224"/>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row>
    <row r="380" spans="1:24" ht="14" x14ac:dyDescent="0.2">
      <c r="A380" s="224"/>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row>
    <row r="381" spans="1:24" ht="14" x14ac:dyDescent="0.2">
      <c r="A381" s="224"/>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row>
    <row r="382" spans="1:24" ht="14" x14ac:dyDescent="0.2">
      <c r="A382" s="224"/>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row>
    <row r="383" spans="1:24" ht="14" x14ac:dyDescent="0.2">
      <c r="A383" s="224"/>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row>
    <row r="384" spans="1:24" ht="14" x14ac:dyDescent="0.2">
      <c r="A384" s="224"/>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row>
    <row r="385" spans="1:24" ht="14" x14ac:dyDescent="0.2">
      <c r="A385" s="224"/>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row>
    <row r="386" spans="1:24" ht="14" x14ac:dyDescent="0.2">
      <c r="A386" s="224"/>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row>
    <row r="387" spans="1:24" ht="14" x14ac:dyDescent="0.2">
      <c r="A387" s="224"/>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row>
    <row r="388" spans="1:24" ht="14" x14ac:dyDescent="0.2">
      <c r="A388" s="224"/>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row>
    <row r="389" spans="1:24" ht="14" x14ac:dyDescent="0.2">
      <c r="A389" s="224"/>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row>
    <row r="390" spans="1:24" ht="14" x14ac:dyDescent="0.2">
      <c r="A390" s="224"/>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row>
    <row r="391" spans="1:24" ht="14" x14ac:dyDescent="0.2">
      <c r="A391" s="224"/>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row>
    <row r="392" spans="1:24" ht="14" x14ac:dyDescent="0.2">
      <c r="A392" s="224"/>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row>
    <row r="393" spans="1:24" ht="14" x14ac:dyDescent="0.2">
      <c r="A393" s="224"/>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row>
    <row r="394" spans="1:24" ht="14" x14ac:dyDescent="0.2">
      <c r="A394" s="224"/>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row>
    <row r="395" spans="1:24" ht="14" x14ac:dyDescent="0.2">
      <c r="A395" s="224"/>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row>
    <row r="396" spans="1:24" ht="14" x14ac:dyDescent="0.2">
      <c r="A396" s="224"/>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row>
    <row r="397" spans="1:24" ht="14" x14ac:dyDescent="0.2">
      <c r="A397" s="224"/>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row>
    <row r="398" spans="1:24" ht="14" x14ac:dyDescent="0.2">
      <c r="A398" s="224"/>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row>
    <row r="399" spans="1:24" ht="14" x14ac:dyDescent="0.2">
      <c r="A399" s="224"/>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row>
    <row r="400" spans="1:24" ht="14" x14ac:dyDescent="0.2">
      <c r="A400" s="224"/>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row>
    <row r="401" spans="1:24" ht="14" x14ac:dyDescent="0.2">
      <c r="A401" s="224"/>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row>
    <row r="402" spans="1:24" ht="14" x14ac:dyDescent="0.2">
      <c r="A402" s="224"/>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row>
    <row r="403" spans="1:24" ht="14" x14ac:dyDescent="0.2">
      <c r="A403" s="224"/>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row>
    <row r="404" spans="1:24" ht="14" x14ac:dyDescent="0.2">
      <c r="A404" s="224"/>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row>
    <row r="405" spans="1:24" ht="14" x14ac:dyDescent="0.2">
      <c r="A405" s="224"/>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row>
    <row r="406" spans="1:24" ht="14" x14ac:dyDescent="0.2">
      <c r="A406" s="224"/>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row>
    <row r="407" spans="1:24" ht="14" x14ac:dyDescent="0.2">
      <c r="A407" s="224"/>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row>
    <row r="408" spans="1:24" ht="14" x14ac:dyDescent="0.2">
      <c r="A408" s="224"/>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row>
    <row r="409" spans="1:24" ht="14" x14ac:dyDescent="0.2">
      <c r="A409" s="224"/>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row>
    <row r="410" spans="1:24" ht="14" x14ac:dyDescent="0.2">
      <c r="A410" s="224"/>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row>
    <row r="411" spans="1:24" ht="14" x14ac:dyDescent="0.2">
      <c r="A411" s="224"/>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row>
    <row r="412" spans="1:24" ht="14" x14ac:dyDescent="0.2">
      <c r="A412" s="224"/>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row>
    <row r="413" spans="1:24" ht="14" x14ac:dyDescent="0.2">
      <c r="A413" s="224"/>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row>
    <row r="414" spans="1:24" ht="14" x14ac:dyDescent="0.2">
      <c r="A414" s="224"/>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row>
    <row r="415" spans="1:24" ht="14" x14ac:dyDescent="0.2">
      <c r="A415" s="224"/>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row>
    <row r="416" spans="1:24" ht="14" x14ac:dyDescent="0.2">
      <c r="A416" s="224"/>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row>
    <row r="417" spans="1:24" ht="14" x14ac:dyDescent="0.2">
      <c r="A417" s="224"/>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row>
    <row r="418" spans="1:24" ht="14" x14ac:dyDescent="0.2">
      <c r="A418" s="224"/>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row>
    <row r="419" spans="1:24" ht="14" x14ac:dyDescent="0.2">
      <c r="A419" s="224"/>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row>
    <row r="420" spans="1:24" ht="14" x14ac:dyDescent="0.2">
      <c r="A420" s="224"/>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row>
    <row r="421" spans="1:24" ht="14" x14ac:dyDescent="0.2">
      <c r="A421" s="224"/>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row>
    <row r="422" spans="1:24" ht="14" x14ac:dyDescent="0.2">
      <c r="A422" s="224"/>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row>
    <row r="423" spans="1:24" ht="14" x14ac:dyDescent="0.2">
      <c r="A423" s="224"/>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row>
    <row r="424" spans="1:24" ht="14" x14ac:dyDescent="0.2">
      <c r="A424" s="224"/>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row>
    <row r="425" spans="1:24" ht="14" x14ac:dyDescent="0.2">
      <c r="A425" s="224"/>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row>
    <row r="426" spans="1:24" ht="14" x14ac:dyDescent="0.2">
      <c r="A426" s="224"/>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row>
    <row r="427" spans="1:24" ht="14" x14ac:dyDescent="0.2">
      <c r="A427" s="224"/>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row>
    <row r="428" spans="1:24" ht="14" x14ac:dyDescent="0.2">
      <c r="A428" s="224"/>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row>
    <row r="429" spans="1:24" ht="14" x14ac:dyDescent="0.2">
      <c r="A429" s="224"/>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row>
    <row r="430" spans="1:24" ht="14" x14ac:dyDescent="0.2">
      <c r="A430" s="224"/>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row>
    <row r="431" spans="1:24" ht="14" x14ac:dyDescent="0.2">
      <c r="A431" s="224"/>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row>
    <row r="432" spans="1:24" ht="14" x14ac:dyDescent="0.2">
      <c r="A432" s="224"/>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row>
    <row r="433" spans="1:24" ht="14" x14ac:dyDescent="0.2">
      <c r="A433" s="224"/>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row>
    <row r="434" spans="1:24" ht="14" x14ac:dyDescent="0.2">
      <c r="A434" s="224"/>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row>
    <row r="435" spans="1:24" ht="14" x14ac:dyDescent="0.2">
      <c r="A435" s="224"/>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row>
    <row r="436" spans="1:24" ht="14" x14ac:dyDescent="0.2">
      <c r="A436" s="224"/>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row>
    <row r="437" spans="1:24" ht="14" x14ac:dyDescent="0.2">
      <c r="A437" s="224"/>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row>
    <row r="438" spans="1:24" ht="14" x14ac:dyDescent="0.2">
      <c r="A438" s="224"/>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row>
    <row r="439" spans="1:24" ht="14" x14ac:dyDescent="0.2">
      <c r="A439" s="224"/>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row>
    <row r="440" spans="1:24" ht="14" x14ac:dyDescent="0.2">
      <c r="A440" s="224"/>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row>
    <row r="441" spans="1:24" ht="14" x14ac:dyDescent="0.2">
      <c r="A441" s="224"/>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row>
    <row r="442" spans="1:24" ht="14" x14ac:dyDescent="0.2">
      <c r="A442" s="224"/>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row>
    <row r="443" spans="1:24" ht="14" x14ac:dyDescent="0.2">
      <c r="A443" s="224"/>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row>
    <row r="444" spans="1:24" ht="14" x14ac:dyDescent="0.2">
      <c r="A444" s="224"/>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row>
    <row r="445" spans="1:24" ht="14" x14ac:dyDescent="0.2">
      <c r="A445" s="224"/>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row>
    <row r="446" spans="1:24" ht="14" x14ac:dyDescent="0.2">
      <c r="A446" s="224"/>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row>
    <row r="447" spans="1:24" ht="14" x14ac:dyDescent="0.2">
      <c r="A447" s="224"/>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row>
    <row r="448" spans="1:24" ht="14" x14ac:dyDescent="0.2">
      <c r="A448" s="224"/>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row>
    <row r="449" spans="1:24" ht="14" x14ac:dyDescent="0.2">
      <c r="A449" s="224"/>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row>
    <row r="450" spans="1:24" ht="14" x14ac:dyDescent="0.2">
      <c r="A450" s="224"/>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row>
    <row r="451" spans="1:24" ht="14" x14ac:dyDescent="0.2">
      <c r="A451" s="224"/>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row>
    <row r="452" spans="1:24" ht="14" x14ac:dyDescent="0.2">
      <c r="A452" s="224"/>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row>
    <row r="453" spans="1:24" ht="14" x14ac:dyDescent="0.2">
      <c r="A453" s="224"/>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row>
    <row r="454" spans="1:24" ht="14" x14ac:dyDescent="0.2">
      <c r="A454" s="224"/>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row>
    <row r="455" spans="1:24" ht="14" x14ac:dyDescent="0.2">
      <c r="A455" s="224"/>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row>
    <row r="456" spans="1:24" ht="14" x14ac:dyDescent="0.2">
      <c r="A456" s="224"/>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row>
    <row r="457" spans="1:24" ht="14" x14ac:dyDescent="0.2">
      <c r="A457" s="224"/>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row>
    <row r="458" spans="1:24" ht="14" x14ac:dyDescent="0.2">
      <c r="A458" s="224"/>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row>
    <row r="459" spans="1:24" ht="14" x14ac:dyDescent="0.2">
      <c r="A459" s="224"/>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row>
    <row r="460" spans="1:24" ht="14" x14ac:dyDescent="0.2">
      <c r="A460" s="224"/>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row>
    <row r="461" spans="1:24" ht="14" x14ac:dyDescent="0.2">
      <c r="A461" s="224"/>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row>
    <row r="462" spans="1:24" ht="14" x14ac:dyDescent="0.2">
      <c r="A462" s="224"/>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row>
    <row r="463" spans="1:24" ht="14" x14ac:dyDescent="0.2">
      <c r="A463" s="224"/>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row>
    <row r="464" spans="1:24" ht="14" x14ac:dyDescent="0.2">
      <c r="A464" s="224"/>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row>
    <row r="465" spans="1:24" ht="14" x14ac:dyDescent="0.2">
      <c r="A465" s="224"/>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row>
    <row r="466" spans="1:24" ht="14" x14ac:dyDescent="0.2">
      <c r="A466" s="224"/>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row>
    <row r="467" spans="1:24" ht="14" x14ac:dyDescent="0.2">
      <c r="A467" s="224"/>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row>
    <row r="468" spans="1:24" ht="14" x14ac:dyDescent="0.2">
      <c r="A468" s="224"/>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row>
    <row r="469" spans="1:24" ht="14" x14ac:dyDescent="0.2">
      <c r="A469" s="224"/>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row>
    <row r="470" spans="1:24" ht="14" x14ac:dyDescent="0.2">
      <c r="A470" s="224"/>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row>
    <row r="471" spans="1:24" ht="14" x14ac:dyDescent="0.2">
      <c r="A471" s="224"/>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row>
    <row r="472" spans="1:24" ht="14" x14ac:dyDescent="0.2">
      <c r="A472" s="224"/>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row>
    <row r="473" spans="1:24" ht="14" x14ac:dyDescent="0.2">
      <c r="A473" s="224"/>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row>
    <row r="474" spans="1:24" ht="14" x14ac:dyDescent="0.2">
      <c r="A474" s="224"/>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row>
    <row r="475" spans="1:24" ht="14" x14ac:dyDescent="0.2">
      <c r="A475" s="224"/>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row>
    <row r="476" spans="1:24" ht="14" x14ac:dyDescent="0.2">
      <c r="A476" s="224"/>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row>
    <row r="477" spans="1:24" ht="14" x14ac:dyDescent="0.2">
      <c r="A477" s="224"/>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row>
    <row r="478" spans="1:24" ht="14" x14ac:dyDescent="0.2">
      <c r="A478" s="224"/>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row>
    <row r="479" spans="1:24" ht="14" x14ac:dyDescent="0.2">
      <c r="A479" s="224"/>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row>
    <row r="480" spans="1:24" ht="14" x14ac:dyDescent="0.2">
      <c r="A480" s="224"/>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row>
    <row r="481" spans="1:24" ht="14" x14ac:dyDescent="0.2">
      <c r="A481" s="224"/>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row>
    <row r="482" spans="1:24" ht="14" x14ac:dyDescent="0.2">
      <c r="A482" s="224"/>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row>
    <row r="483" spans="1:24" ht="14" x14ac:dyDescent="0.2">
      <c r="A483" s="224"/>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row>
    <row r="484" spans="1:24" ht="14" x14ac:dyDescent="0.2">
      <c r="A484" s="224"/>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row>
    <row r="485" spans="1:24" ht="14" x14ac:dyDescent="0.2">
      <c r="A485" s="224"/>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row>
    <row r="486" spans="1:24" ht="14" x14ac:dyDescent="0.2">
      <c r="A486" s="224"/>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row>
    <row r="487" spans="1:24" ht="14" x14ac:dyDescent="0.2">
      <c r="A487" s="224"/>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row>
    <row r="488" spans="1:24" ht="14" x14ac:dyDescent="0.2">
      <c r="A488" s="224"/>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row>
    <row r="489" spans="1:24" ht="14" x14ac:dyDescent="0.2">
      <c r="A489" s="224"/>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row>
    <row r="490" spans="1:24" ht="14" x14ac:dyDescent="0.2">
      <c r="A490" s="224"/>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row>
    <row r="491" spans="1:24" ht="14" x14ac:dyDescent="0.2">
      <c r="A491" s="224"/>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row>
    <row r="492" spans="1:24" ht="14" x14ac:dyDescent="0.2">
      <c r="A492" s="224"/>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row>
    <row r="493" spans="1:24" ht="14" x14ac:dyDescent="0.2">
      <c r="A493" s="224"/>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row>
    <row r="494" spans="1:24" ht="14" x14ac:dyDescent="0.2">
      <c r="A494" s="224"/>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row>
    <row r="495" spans="1:24" ht="14" x14ac:dyDescent="0.2">
      <c r="A495" s="224"/>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row>
    <row r="496" spans="1:24" ht="14" x14ac:dyDescent="0.2">
      <c r="A496" s="224"/>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row>
    <row r="497" spans="1:24" ht="14" x14ac:dyDescent="0.2">
      <c r="A497" s="224"/>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row>
    <row r="498" spans="1:24" ht="14" x14ac:dyDescent="0.2">
      <c r="A498" s="224"/>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row>
    <row r="499" spans="1:24" ht="14" x14ac:dyDescent="0.2">
      <c r="A499" s="224"/>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row>
    <row r="500" spans="1:24" ht="14" x14ac:dyDescent="0.2">
      <c r="A500" s="224"/>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row>
    <row r="501" spans="1:24" ht="14" x14ac:dyDescent="0.2">
      <c r="A501" s="224"/>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row>
    <row r="502" spans="1:24" ht="14" x14ac:dyDescent="0.2">
      <c r="A502" s="224"/>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row>
    <row r="503" spans="1:24" ht="14" x14ac:dyDescent="0.2">
      <c r="A503" s="224"/>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row>
    <row r="504" spans="1:24" ht="14" x14ac:dyDescent="0.2">
      <c r="A504" s="224"/>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row>
    <row r="505" spans="1:24" ht="14" x14ac:dyDescent="0.2">
      <c r="A505" s="224"/>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row>
    <row r="506" spans="1:24" ht="14" x14ac:dyDescent="0.2">
      <c r="A506" s="224"/>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row>
    <row r="507" spans="1:24" ht="14" x14ac:dyDescent="0.2">
      <c r="A507" s="224"/>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row>
    <row r="508" spans="1:24" ht="14" x14ac:dyDescent="0.2">
      <c r="A508" s="224"/>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row>
    <row r="509" spans="1:24" ht="14" x14ac:dyDescent="0.2">
      <c r="A509" s="224"/>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row>
    <row r="510" spans="1:24" ht="14" x14ac:dyDescent="0.2">
      <c r="A510" s="224"/>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row>
    <row r="511" spans="1:24" ht="14" x14ac:dyDescent="0.2">
      <c r="A511" s="224"/>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row>
    <row r="512" spans="1:24" ht="14" x14ac:dyDescent="0.2">
      <c r="A512" s="224"/>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row>
    <row r="513" spans="1:24" ht="14" x14ac:dyDescent="0.2">
      <c r="A513" s="224"/>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row>
    <row r="514" spans="1:24" ht="14" x14ac:dyDescent="0.2">
      <c r="A514" s="224"/>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row>
    <row r="515" spans="1:24" ht="14" x14ac:dyDescent="0.2">
      <c r="A515" s="224"/>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row>
    <row r="516" spans="1:24" ht="14" x14ac:dyDescent="0.2">
      <c r="A516" s="224"/>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row>
    <row r="517" spans="1:24" ht="14" x14ac:dyDescent="0.2">
      <c r="A517" s="224"/>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row>
    <row r="518" spans="1:24" ht="14" x14ac:dyDescent="0.2">
      <c r="A518" s="224"/>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row>
    <row r="519" spans="1:24" ht="14" x14ac:dyDescent="0.2">
      <c r="A519" s="224"/>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row>
    <row r="520" spans="1:24" ht="14" x14ac:dyDescent="0.2">
      <c r="A520" s="224"/>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row>
    <row r="521" spans="1:24" ht="14" x14ac:dyDescent="0.2">
      <c r="A521" s="224"/>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row>
    <row r="522" spans="1:24" ht="14" x14ac:dyDescent="0.2">
      <c r="A522" s="224"/>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row>
    <row r="523" spans="1:24" ht="14" x14ac:dyDescent="0.2">
      <c r="A523" s="224"/>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row>
    <row r="524" spans="1:24" ht="14" x14ac:dyDescent="0.2">
      <c r="A524" s="224"/>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row>
    <row r="525" spans="1:24" ht="14" x14ac:dyDescent="0.2">
      <c r="A525" s="224"/>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row>
    <row r="526" spans="1:24" ht="14" x14ac:dyDescent="0.2">
      <c r="A526" s="224"/>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row>
    <row r="527" spans="1:24" ht="14" x14ac:dyDescent="0.2">
      <c r="A527" s="224"/>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row>
    <row r="528" spans="1:24" ht="14" x14ac:dyDescent="0.2">
      <c r="A528" s="224"/>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row>
    <row r="529" spans="1:24" ht="14" x14ac:dyDescent="0.2">
      <c r="A529" s="224"/>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row>
    <row r="530" spans="1:24" ht="14" x14ac:dyDescent="0.2">
      <c r="A530" s="224"/>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row>
    <row r="531" spans="1:24" ht="14" x14ac:dyDescent="0.2">
      <c r="A531" s="224"/>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row>
    <row r="532" spans="1:24" ht="14" x14ac:dyDescent="0.2">
      <c r="A532" s="224"/>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row>
    <row r="533" spans="1:24" ht="14" x14ac:dyDescent="0.2">
      <c r="A533" s="224"/>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row>
    <row r="534" spans="1:24" ht="14" x14ac:dyDescent="0.2">
      <c r="A534" s="224"/>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row>
    <row r="535" spans="1:24" ht="14" x14ac:dyDescent="0.2">
      <c r="A535" s="224"/>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row>
    <row r="536" spans="1:24" ht="14" x14ac:dyDescent="0.2">
      <c r="A536" s="224"/>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row>
    <row r="537" spans="1:24" ht="14" x14ac:dyDescent="0.2">
      <c r="A537" s="224"/>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row>
    <row r="538" spans="1:24" ht="14" x14ac:dyDescent="0.2">
      <c r="A538" s="224"/>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row>
    <row r="539" spans="1:24" ht="14" x14ac:dyDescent="0.2">
      <c r="A539" s="224"/>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row>
    <row r="540" spans="1:24" ht="14" x14ac:dyDescent="0.2">
      <c r="A540" s="224"/>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row>
    <row r="541" spans="1:24" ht="14" x14ac:dyDescent="0.2">
      <c r="A541" s="224"/>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row>
    <row r="542" spans="1:24" ht="14" x14ac:dyDescent="0.2">
      <c r="A542" s="224"/>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row>
    <row r="543" spans="1:24" ht="14" x14ac:dyDescent="0.2">
      <c r="A543" s="224"/>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row>
    <row r="544" spans="1:24" ht="14" x14ac:dyDescent="0.2">
      <c r="A544" s="224"/>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row>
    <row r="545" spans="1:24" ht="14" x14ac:dyDescent="0.2">
      <c r="A545" s="224"/>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row>
    <row r="546" spans="1:24" ht="14" x14ac:dyDescent="0.2">
      <c r="A546" s="224"/>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row>
    <row r="547" spans="1:24" ht="14" x14ac:dyDescent="0.2">
      <c r="A547" s="224"/>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row>
    <row r="548" spans="1:24" ht="14" x14ac:dyDescent="0.2">
      <c r="A548" s="224"/>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row>
    <row r="549" spans="1:24" ht="14" x14ac:dyDescent="0.2">
      <c r="A549" s="224"/>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row>
    <row r="550" spans="1:24" ht="14" x14ac:dyDescent="0.2">
      <c r="A550" s="224"/>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row>
    <row r="551" spans="1:24" ht="14" x14ac:dyDescent="0.2">
      <c r="A551" s="224"/>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row>
    <row r="552" spans="1:24" ht="14" x14ac:dyDescent="0.2">
      <c r="A552" s="224"/>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row>
    <row r="553" spans="1:24" ht="14" x14ac:dyDescent="0.2">
      <c r="A553" s="224"/>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row>
    <row r="554" spans="1:24" ht="14" x14ac:dyDescent="0.2">
      <c r="A554" s="224"/>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row>
    <row r="555" spans="1:24" ht="14" x14ac:dyDescent="0.2">
      <c r="A555" s="224"/>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row>
    <row r="556" spans="1:24" ht="14" x14ac:dyDescent="0.2">
      <c r="A556" s="224"/>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row>
    <row r="557" spans="1:24" ht="14" x14ac:dyDescent="0.2">
      <c r="A557" s="224"/>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row>
    <row r="558" spans="1:24" ht="14" x14ac:dyDescent="0.2">
      <c r="A558" s="224"/>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row>
    <row r="559" spans="1:24" ht="14" x14ac:dyDescent="0.2">
      <c r="A559" s="224"/>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row>
    <row r="560" spans="1:24" ht="14" x14ac:dyDescent="0.2">
      <c r="A560" s="224"/>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row>
    <row r="561" spans="1:24" ht="14" x14ac:dyDescent="0.2">
      <c r="A561" s="224"/>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row>
    <row r="562" spans="1:24" ht="14" x14ac:dyDescent="0.2">
      <c r="A562" s="224"/>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row>
    <row r="563" spans="1:24" ht="14" x14ac:dyDescent="0.2">
      <c r="A563" s="224"/>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row>
    <row r="564" spans="1:24" ht="14" x14ac:dyDescent="0.2">
      <c r="A564" s="224"/>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row>
    <row r="565" spans="1:24" ht="14" x14ac:dyDescent="0.2">
      <c r="A565" s="224"/>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row>
    <row r="566" spans="1:24" ht="14" x14ac:dyDescent="0.2">
      <c r="A566" s="224"/>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row>
    <row r="567" spans="1:24" ht="14" x14ac:dyDescent="0.2">
      <c r="A567" s="224"/>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row>
    <row r="568" spans="1:24" ht="14" x14ac:dyDescent="0.2">
      <c r="A568" s="224"/>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row>
    <row r="569" spans="1:24" ht="14" x14ac:dyDescent="0.2">
      <c r="A569" s="224"/>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row>
    <row r="570" spans="1:24" ht="14" x14ac:dyDescent="0.2">
      <c r="A570" s="224"/>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row>
    <row r="571" spans="1:24" ht="14" x14ac:dyDescent="0.2">
      <c r="A571" s="224"/>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row>
    <row r="572" spans="1:24" ht="14" x14ac:dyDescent="0.2">
      <c r="A572" s="224"/>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row>
    <row r="573" spans="1:24" ht="14" x14ac:dyDescent="0.2">
      <c r="A573" s="224"/>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row>
    <row r="574" spans="1:24" ht="14" x14ac:dyDescent="0.2">
      <c r="A574" s="224"/>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row>
    <row r="575" spans="1:24" ht="14" x14ac:dyDescent="0.2">
      <c r="A575" s="224"/>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row>
    <row r="576" spans="1:24" ht="14" x14ac:dyDescent="0.2">
      <c r="A576" s="224"/>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row>
    <row r="577" spans="1:24" ht="14" x14ac:dyDescent="0.2">
      <c r="A577" s="224"/>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row>
    <row r="578" spans="1:24" ht="14" x14ac:dyDescent="0.2">
      <c r="A578" s="224"/>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row>
    <row r="579" spans="1:24" ht="14" x14ac:dyDescent="0.2">
      <c r="A579" s="224"/>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row>
    <row r="580" spans="1:24" ht="14" x14ac:dyDescent="0.2">
      <c r="A580" s="224"/>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row>
    <row r="581" spans="1:24" ht="14" x14ac:dyDescent="0.2">
      <c r="A581" s="224"/>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row>
    <row r="582" spans="1:24" ht="14" x14ac:dyDescent="0.2">
      <c r="A582" s="224"/>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row>
    <row r="583" spans="1:24" ht="14" x14ac:dyDescent="0.2">
      <c r="A583" s="224"/>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row>
    <row r="584" spans="1:24" ht="14" x14ac:dyDescent="0.2">
      <c r="A584" s="224"/>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row>
    <row r="585" spans="1:24" ht="14" x14ac:dyDescent="0.2">
      <c r="A585" s="224"/>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row>
    <row r="586" spans="1:24" ht="14" x14ac:dyDescent="0.2">
      <c r="A586" s="224"/>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row>
    <row r="587" spans="1:24" ht="14" x14ac:dyDescent="0.2">
      <c r="A587" s="224"/>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row>
    <row r="588" spans="1:24" ht="14" x14ac:dyDescent="0.2">
      <c r="A588" s="224"/>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row>
    <row r="589" spans="1:24" ht="14" x14ac:dyDescent="0.2">
      <c r="A589" s="224"/>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row>
    <row r="590" spans="1:24" ht="14" x14ac:dyDescent="0.2">
      <c r="A590" s="224"/>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row>
    <row r="591" spans="1:24" ht="14" x14ac:dyDescent="0.2">
      <c r="A591" s="224"/>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row>
    <row r="592" spans="1:24" ht="14" x14ac:dyDescent="0.2">
      <c r="A592" s="224"/>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row>
    <row r="593" spans="1:24" ht="14" x14ac:dyDescent="0.2">
      <c r="A593" s="224"/>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row>
    <row r="594" spans="1:24" ht="14" x14ac:dyDescent="0.2">
      <c r="A594" s="224"/>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row>
    <row r="595" spans="1:24" ht="14" x14ac:dyDescent="0.2">
      <c r="A595" s="224"/>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row>
    <row r="596" spans="1:24" ht="14" x14ac:dyDescent="0.2">
      <c r="A596" s="224"/>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row>
    <row r="597" spans="1:24" ht="14" x14ac:dyDescent="0.2">
      <c r="A597" s="224"/>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row>
    <row r="598" spans="1:24" ht="14" x14ac:dyDescent="0.2">
      <c r="A598" s="224"/>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row>
    <row r="599" spans="1:24" ht="14" x14ac:dyDescent="0.2">
      <c r="A599" s="224"/>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row>
    <row r="600" spans="1:24" ht="14" x14ac:dyDescent="0.2">
      <c r="A600" s="224"/>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row>
    <row r="601" spans="1:24" ht="14" x14ac:dyDescent="0.2">
      <c r="A601" s="224"/>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row>
    <row r="602" spans="1:24" ht="14" x14ac:dyDescent="0.2">
      <c r="A602" s="224"/>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row>
    <row r="603" spans="1:24" ht="14" x14ac:dyDescent="0.2">
      <c r="A603" s="224"/>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row>
    <row r="604" spans="1:24" ht="14" x14ac:dyDescent="0.2">
      <c r="A604" s="224"/>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row>
    <row r="605" spans="1:24" ht="14" x14ac:dyDescent="0.2">
      <c r="A605" s="224"/>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row>
    <row r="606" spans="1:24" ht="14" x14ac:dyDescent="0.2">
      <c r="A606" s="224"/>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row>
    <row r="607" spans="1:24" ht="14" x14ac:dyDescent="0.2">
      <c r="A607" s="224"/>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row>
    <row r="608" spans="1:24" ht="14" x14ac:dyDescent="0.2">
      <c r="A608" s="224"/>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row>
    <row r="609" spans="1:24" ht="14" x14ac:dyDescent="0.2">
      <c r="A609" s="224"/>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row>
    <row r="610" spans="1:24" ht="14" x14ac:dyDescent="0.2">
      <c r="A610" s="224"/>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row>
    <row r="611" spans="1:24" ht="14" x14ac:dyDescent="0.2">
      <c r="A611" s="224"/>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row>
    <row r="612" spans="1:24" ht="14" x14ac:dyDescent="0.2">
      <c r="A612" s="224"/>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row>
    <row r="613" spans="1:24" ht="14" x14ac:dyDescent="0.2">
      <c r="A613" s="224"/>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row>
    <row r="614" spans="1:24" ht="14" x14ac:dyDescent="0.2">
      <c r="A614" s="224"/>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row>
    <row r="615" spans="1:24" ht="14" x14ac:dyDescent="0.2">
      <c r="A615" s="224"/>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row>
    <row r="616" spans="1:24" ht="14" x14ac:dyDescent="0.2">
      <c r="A616" s="224"/>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row>
    <row r="617" spans="1:24" ht="14" x14ac:dyDescent="0.2">
      <c r="A617" s="224"/>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row>
    <row r="618" spans="1:24" ht="14" x14ac:dyDescent="0.2">
      <c r="A618" s="224"/>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row>
    <row r="619" spans="1:24" ht="14" x14ac:dyDescent="0.2">
      <c r="A619" s="224"/>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row>
    <row r="620" spans="1:24" ht="14" x14ac:dyDescent="0.2">
      <c r="A620" s="224"/>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row>
    <row r="621" spans="1:24" ht="14" x14ac:dyDescent="0.2">
      <c r="A621" s="224"/>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row>
    <row r="622" spans="1:24" ht="14" x14ac:dyDescent="0.2">
      <c r="A622" s="224"/>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row>
    <row r="623" spans="1:24" ht="14" x14ac:dyDescent="0.2">
      <c r="A623" s="224"/>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row>
    <row r="624" spans="1:24" ht="14" x14ac:dyDescent="0.2">
      <c r="A624" s="224"/>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row>
    <row r="625" spans="1:24" ht="14" x14ac:dyDescent="0.2">
      <c r="A625" s="224"/>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row>
    <row r="626" spans="1:24" ht="14" x14ac:dyDescent="0.2">
      <c r="A626" s="224"/>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row>
    <row r="627" spans="1:24" ht="14" x14ac:dyDescent="0.2">
      <c r="A627" s="224"/>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row>
    <row r="628" spans="1:24" ht="14" x14ac:dyDescent="0.2">
      <c r="A628" s="224"/>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row>
    <row r="629" spans="1:24" ht="14" x14ac:dyDescent="0.2">
      <c r="A629" s="224"/>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row>
    <row r="630" spans="1:24" ht="14" x14ac:dyDescent="0.2">
      <c r="A630" s="224"/>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row>
    <row r="631" spans="1:24" ht="14" x14ac:dyDescent="0.2">
      <c r="A631" s="224"/>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row>
    <row r="632" spans="1:24" ht="14" x14ac:dyDescent="0.2">
      <c r="A632" s="224"/>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row>
    <row r="633" spans="1:24" ht="14" x14ac:dyDescent="0.2">
      <c r="A633" s="224"/>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row>
    <row r="634" spans="1:24" ht="14" x14ac:dyDescent="0.2">
      <c r="A634" s="224"/>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row>
    <row r="635" spans="1:24" ht="14" x14ac:dyDescent="0.2">
      <c r="A635" s="224"/>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row>
    <row r="636" spans="1:24" ht="14" x14ac:dyDescent="0.2">
      <c r="A636" s="224"/>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row>
    <row r="637" spans="1:24" ht="14" x14ac:dyDescent="0.2">
      <c r="A637" s="224"/>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row>
    <row r="638" spans="1:24" ht="14" x14ac:dyDescent="0.2">
      <c r="A638" s="224"/>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row>
    <row r="639" spans="1:24" ht="14" x14ac:dyDescent="0.2">
      <c r="A639" s="224"/>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row>
    <row r="640" spans="1:24" ht="14" x14ac:dyDescent="0.2">
      <c r="A640" s="224"/>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row>
    <row r="641" spans="1:24" ht="14" x14ac:dyDescent="0.2">
      <c r="A641" s="224"/>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row>
    <row r="642" spans="1:24" ht="14" x14ac:dyDescent="0.2">
      <c r="A642" s="224"/>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row>
    <row r="643" spans="1:24" ht="14" x14ac:dyDescent="0.2">
      <c r="A643" s="224"/>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row>
    <row r="644" spans="1:24" ht="14" x14ac:dyDescent="0.2">
      <c r="A644" s="224"/>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row>
    <row r="645" spans="1:24" ht="14" x14ac:dyDescent="0.2">
      <c r="A645" s="224"/>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row>
    <row r="646" spans="1:24" ht="14" x14ac:dyDescent="0.2">
      <c r="A646" s="224"/>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row>
    <row r="647" spans="1:24" ht="14" x14ac:dyDescent="0.2">
      <c r="A647" s="224"/>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row>
    <row r="648" spans="1:24" ht="14" x14ac:dyDescent="0.2">
      <c r="A648" s="224"/>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row>
    <row r="649" spans="1:24" ht="14" x14ac:dyDescent="0.2">
      <c r="A649" s="224"/>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row>
    <row r="650" spans="1:24" ht="14" x14ac:dyDescent="0.2">
      <c r="A650" s="224"/>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row>
    <row r="651" spans="1:24" ht="14" x14ac:dyDescent="0.2">
      <c r="A651" s="224"/>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row>
    <row r="652" spans="1:24" ht="14" x14ac:dyDescent="0.2">
      <c r="A652" s="224"/>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row>
    <row r="653" spans="1:24" ht="14" x14ac:dyDescent="0.2">
      <c r="A653" s="224"/>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row>
    <row r="654" spans="1:24" ht="14" x14ac:dyDescent="0.2">
      <c r="A654" s="224"/>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row>
    <row r="655" spans="1:24" ht="14" x14ac:dyDescent="0.2">
      <c r="A655" s="224"/>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row>
    <row r="656" spans="1:24" ht="14" x14ac:dyDescent="0.2">
      <c r="A656" s="224"/>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row>
    <row r="657" spans="1:24" ht="14" x14ac:dyDescent="0.2">
      <c r="A657" s="224"/>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row>
    <row r="658" spans="1:24" ht="14" x14ac:dyDescent="0.2">
      <c r="A658" s="224"/>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row>
    <row r="659" spans="1:24" ht="14" x14ac:dyDescent="0.2">
      <c r="A659" s="224"/>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row>
    <row r="660" spans="1:24" ht="14" x14ac:dyDescent="0.2">
      <c r="A660" s="224"/>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row>
    <row r="661" spans="1:24" ht="14" x14ac:dyDescent="0.2">
      <c r="A661" s="224"/>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row>
    <row r="662" spans="1:24" ht="14" x14ac:dyDescent="0.2">
      <c r="A662" s="224"/>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row>
    <row r="663" spans="1:24" ht="14" x14ac:dyDescent="0.2">
      <c r="A663" s="224"/>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row>
    <row r="664" spans="1:24" ht="14" x14ac:dyDescent="0.2">
      <c r="A664" s="224"/>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row>
    <row r="665" spans="1:24" ht="14" x14ac:dyDescent="0.2">
      <c r="A665" s="224"/>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row>
    <row r="666" spans="1:24" ht="14" x14ac:dyDescent="0.2">
      <c r="A666" s="224"/>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row>
    <row r="667" spans="1:24" ht="14" x14ac:dyDescent="0.2">
      <c r="A667" s="224"/>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row>
    <row r="668" spans="1:24" ht="14" x14ac:dyDescent="0.2">
      <c r="A668" s="224"/>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row>
    <row r="669" spans="1:24" ht="14" x14ac:dyDescent="0.2">
      <c r="A669" s="224"/>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row>
    <row r="670" spans="1:24" ht="14" x14ac:dyDescent="0.2">
      <c r="A670" s="224"/>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row>
    <row r="671" spans="1:24" ht="14" x14ac:dyDescent="0.2">
      <c r="A671" s="224"/>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row>
    <row r="672" spans="1:24" ht="14" x14ac:dyDescent="0.2">
      <c r="A672" s="224"/>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row>
    <row r="673" spans="1:24" ht="14" x14ac:dyDescent="0.2">
      <c r="A673" s="224"/>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row>
    <row r="674" spans="1:24" ht="14" x14ac:dyDescent="0.2">
      <c r="A674" s="224"/>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row>
    <row r="675" spans="1:24" ht="14" x14ac:dyDescent="0.2">
      <c r="A675" s="224"/>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row>
    <row r="676" spans="1:24" ht="14" x14ac:dyDescent="0.2">
      <c r="A676" s="224"/>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row>
    <row r="677" spans="1:24" ht="14" x14ac:dyDescent="0.2">
      <c r="A677" s="224"/>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row>
    <row r="678" spans="1:24" ht="14" x14ac:dyDescent="0.2">
      <c r="A678" s="224"/>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row>
    <row r="679" spans="1:24" ht="14" x14ac:dyDescent="0.2">
      <c r="A679" s="224"/>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row>
    <row r="680" spans="1:24" ht="14" x14ac:dyDescent="0.2">
      <c r="A680" s="224"/>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row>
    <row r="681" spans="1:24" ht="14" x14ac:dyDescent="0.2">
      <c r="A681" s="224"/>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row>
    <row r="682" spans="1:24" ht="14" x14ac:dyDescent="0.2">
      <c r="A682" s="224"/>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row>
    <row r="683" spans="1:24" ht="14" x14ac:dyDescent="0.2">
      <c r="A683" s="224"/>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row>
    <row r="684" spans="1:24" ht="14" x14ac:dyDescent="0.2">
      <c r="A684" s="224"/>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row>
    <row r="685" spans="1:24" ht="14" x14ac:dyDescent="0.2">
      <c r="A685" s="224"/>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row>
    <row r="686" spans="1:24" ht="14" x14ac:dyDescent="0.2">
      <c r="A686" s="224"/>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row>
    <row r="687" spans="1:24" ht="14" x14ac:dyDescent="0.2">
      <c r="A687" s="224"/>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row>
    <row r="688" spans="1:24" ht="14" x14ac:dyDescent="0.2">
      <c r="A688" s="224"/>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row>
    <row r="689" spans="1:24" ht="14" x14ac:dyDescent="0.2">
      <c r="A689" s="224"/>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row>
    <row r="690" spans="1:24" ht="14" x14ac:dyDescent="0.2">
      <c r="A690" s="224"/>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row>
    <row r="691" spans="1:24" ht="14" x14ac:dyDescent="0.2">
      <c r="A691" s="224"/>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row>
    <row r="692" spans="1:24" ht="14" x14ac:dyDescent="0.2">
      <c r="A692" s="224"/>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row>
    <row r="693" spans="1:24" ht="14" x14ac:dyDescent="0.2">
      <c r="A693" s="224"/>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row>
    <row r="694" spans="1:24" ht="14" x14ac:dyDescent="0.2">
      <c r="A694" s="224"/>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row>
    <row r="695" spans="1:24" ht="14" x14ac:dyDescent="0.2">
      <c r="A695" s="224"/>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row>
    <row r="696" spans="1:24" ht="14" x14ac:dyDescent="0.2">
      <c r="A696" s="224"/>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row>
    <row r="697" spans="1:24" ht="14" x14ac:dyDescent="0.2">
      <c r="A697" s="224"/>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row>
    <row r="698" spans="1:24" ht="14" x14ac:dyDescent="0.2">
      <c r="A698" s="224"/>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row>
    <row r="699" spans="1:24" ht="14" x14ac:dyDescent="0.2">
      <c r="A699" s="224"/>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row>
    <row r="700" spans="1:24" ht="14" x14ac:dyDescent="0.2">
      <c r="A700" s="224"/>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row>
    <row r="701" spans="1:24" ht="14" x14ac:dyDescent="0.2">
      <c r="A701" s="224"/>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row>
    <row r="702" spans="1:24" ht="14" x14ac:dyDescent="0.2">
      <c r="A702" s="224"/>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row>
    <row r="703" spans="1:24" ht="14" x14ac:dyDescent="0.2">
      <c r="A703" s="224"/>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row>
    <row r="704" spans="1:24" ht="14" x14ac:dyDescent="0.2">
      <c r="A704" s="224"/>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row>
    <row r="705" spans="1:24" ht="14" x14ac:dyDescent="0.2">
      <c r="A705" s="224"/>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row>
    <row r="706" spans="1:24" ht="14" x14ac:dyDescent="0.2">
      <c r="A706" s="224"/>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row>
    <row r="707" spans="1:24" ht="14" x14ac:dyDescent="0.2">
      <c r="A707" s="224"/>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row>
    <row r="708" spans="1:24" ht="14" x14ac:dyDescent="0.2">
      <c r="A708" s="224"/>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row>
    <row r="709" spans="1:24" ht="14" x14ac:dyDescent="0.2">
      <c r="A709" s="224"/>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row>
    <row r="710" spans="1:24" ht="14" x14ac:dyDescent="0.2">
      <c r="A710" s="224"/>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row>
    <row r="711" spans="1:24" ht="14" x14ac:dyDescent="0.2">
      <c r="A711" s="224"/>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row>
    <row r="712" spans="1:24" ht="14" x14ac:dyDescent="0.2">
      <c r="A712" s="224"/>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row>
    <row r="713" spans="1:24" ht="14" x14ac:dyDescent="0.2">
      <c r="A713" s="224"/>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row>
    <row r="714" spans="1:24" ht="14" x14ac:dyDescent="0.2">
      <c r="A714" s="224"/>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row>
    <row r="715" spans="1:24" ht="14" x14ac:dyDescent="0.2">
      <c r="A715" s="224"/>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row>
    <row r="716" spans="1:24" ht="14" x14ac:dyDescent="0.2">
      <c r="A716" s="224"/>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row>
    <row r="717" spans="1:24" ht="14" x14ac:dyDescent="0.2">
      <c r="A717" s="224"/>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row>
    <row r="718" spans="1:24" ht="14" x14ac:dyDescent="0.2">
      <c r="A718" s="224"/>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row>
    <row r="719" spans="1:24" ht="14" x14ac:dyDescent="0.2">
      <c r="A719" s="224"/>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row>
    <row r="720" spans="1:24" ht="14" x14ac:dyDescent="0.2">
      <c r="A720" s="224"/>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row>
    <row r="721" spans="1:24" ht="14" x14ac:dyDescent="0.2">
      <c r="A721" s="224"/>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row>
    <row r="722" spans="1:24" ht="14" x14ac:dyDescent="0.2">
      <c r="A722" s="224"/>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row>
    <row r="723" spans="1:24" ht="14" x14ac:dyDescent="0.2">
      <c r="A723" s="224"/>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row>
    <row r="724" spans="1:24" ht="14" x14ac:dyDescent="0.2">
      <c r="A724" s="224"/>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row>
    <row r="725" spans="1:24" ht="14" x14ac:dyDescent="0.2">
      <c r="A725" s="224"/>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row>
    <row r="726" spans="1:24" ht="14" x14ac:dyDescent="0.2">
      <c r="A726" s="224"/>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row>
    <row r="727" spans="1:24" ht="14" x14ac:dyDescent="0.2">
      <c r="A727" s="224"/>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row>
    <row r="728" spans="1:24" ht="14" x14ac:dyDescent="0.2">
      <c r="A728" s="224"/>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row>
    <row r="729" spans="1:24" ht="14" x14ac:dyDescent="0.2">
      <c r="A729" s="224"/>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row>
    <row r="730" spans="1:24" ht="14" x14ac:dyDescent="0.2">
      <c r="A730" s="224"/>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row>
    <row r="731" spans="1:24" ht="14" x14ac:dyDescent="0.2">
      <c r="A731" s="224"/>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row>
    <row r="732" spans="1:24" ht="14" x14ac:dyDescent="0.2">
      <c r="A732" s="224"/>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row>
    <row r="733" spans="1:24" ht="14" x14ac:dyDescent="0.2">
      <c r="A733" s="224"/>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row>
    <row r="734" spans="1:24" ht="14" x14ac:dyDescent="0.2">
      <c r="A734" s="224"/>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row>
    <row r="735" spans="1:24" ht="14" x14ac:dyDescent="0.2">
      <c r="A735" s="224"/>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row>
    <row r="736" spans="1:24" ht="14" x14ac:dyDescent="0.2">
      <c r="A736" s="224"/>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row>
    <row r="737" spans="1:24" ht="14" x14ac:dyDescent="0.2">
      <c r="A737" s="224"/>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row>
    <row r="738" spans="1:24" ht="14" x14ac:dyDescent="0.2">
      <c r="A738" s="224"/>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row>
    <row r="739" spans="1:24" ht="14" x14ac:dyDescent="0.2">
      <c r="A739" s="224"/>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row>
    <row r="740" spans="1:24" ht="14" x14ac:dyDescent="0.2">
      <c r="A740" s="224"/>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row>
    <row r="741" spans="1:24" ht="14" x14ac:dyDescent="0.2">
      <c r="A741" s="224"/>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row>
    <row r="742" spans="1:24" ht="14" x14ac:dyDescent="0.2">
      <c r="A742" s="224"/>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row>
    <row r="743" spans="1:24" ht="14" x14ac:dyDescent="0.2">
      <c r="A743" s="224"/>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row>
    <row r="744" spans="1:24" ht="14" x14ac:dyDescent="0.2">
      <c r="A744" s="224"/>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row>
    <row r="745" spans="1:24" ht="14" x14ac:dyDescent="0.2">
      <c r="A745" s="224"/>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row>
    <row r="746" spans="1:24" ht="14" x14ac:dyDescent="0.2">
      <c r="A746" s="224"/>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row>
    <row r="747" spans="1:24" ht="14" x14ac:dyDescent="0.2">
      <c r="A747" s="224"/>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row>
    <row r="748" spans="1:24" ht="14" x14ac:dyDescent="0.2">
      <c r="A748" s="224"/>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row>
    <row r="749" spans="1:24" ht="14" x14ac:dyDescent="0.2">
      <c r="A749" s="224"/>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row>
    <row r="750" spans="1:24" ht="14" x14ac:dyDescent="0.2">
      <c r="A750" s="224"/>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row>
    <row r="751" spans="1:24" ht="14" x14ac:dyDescent="0.2">
      <c r="A751" s="224"/>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row>
    <row r="752" spans="1:24" ht="14" x14ac:dyDescent="0.2">
      <c r="A752" s="224"/>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row>
    <row r="753" spans="1:24" ht="14" x14ac:dyDescent="0.2">
      <c r="A753" s="224"/>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row>
    <row r="754" spans="1:24" ht="14" x14ac:dyDescent="0.2">
      <c r="A754" s="224"/>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row>
    <row r="755" spans="1:24" ht="14" x14ac:dyDescent="0.2">
      <c r="A755" s="224"/>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row>
    <row r="756" spans="1:24" ht="14" x14ac:dyDescent="0.2">
      <c r="A756" s="224"/>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row>
    <row r="757" spans="1:24" ht="14" x14ac:dyDescent="0.2">
      <c r="A757" s="224"/>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row>
    <row r="758" spans="1:24" ht="14" x14ac:dyDescent="0.2">
      <c r="A758" s="224"/>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row>
    <row r="759" spans="1:24" ht="14" x14ac:dyDescent="0.2">
      <c r="A759" s="224"/>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row>
    <row r="760" spans="1:24" ht="14" x14ac:dyDescent="0.2">
      <c r="A760" s="224"/>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row>
    <row r="761" spans="1:24" ht="14" x14ac:dyDescent="0.2">
      <c r="A761" s="224"/>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row>
    <row r="762" spans="1:24" ht="14" x14ac:dyDescent="0.2">
      <c r="A762" s="224"/>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row>
    <row r="763" spans="1:24" ht="14" x14ac:dyDescent="0.2">
      <c r="A763" s="224"/>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row>
    <row r="764" spans="1:24" ht="14" x14ac:dyDescent="0.2">
      <c r="A764" s="224"/>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row>
    <row r="765" spans="1:24" ht="14" x14ac:dyDescent="0.2">
      <c r="A765" s="224"/>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row>
    <row r="766" spans="1:24" ht="14" x14ac:dyDescent="0.2">
      <c r="A766" s="224"/>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row>
    <row r="767" spans="1:24" ht="14" x14ac:dyDescent="0.2">
      <c r="A767" s="224"/>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row>
    <row r="768" spans="1:24" ht="14" x14ac:dyDescent="0.2">
      <c r="A768" s="224"/>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row>
    <row r="769" spans="1:24" ht="14" x14ac:dyDescent="0.2">
      <c r="A769" s="224"/>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row>
    <row r="770" spans="1:24" ht="14" x14ac:dyDescent="0.2">
      <c r="A770" s="224"/>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row>
    <row r="771" spans="1:24" ht="14" x14ac:dyDescent="0.2">
      <c r="A771" s="224"/>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row>
    <row r="772" spans="1:24" ht="14" x14ac:dyDescent="0.2">
      <c r="A772" s="224"/>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row>
    <row r="773" spans="1:24" ht="14" x14ac:dyDescent="0.2">
      <c r="A773" s="224"/>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row>
    <row r="774" spans="1:24" ht="14" x14ac:dyDescent="0.2">
      <c r="A774" s="224"/>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row>
    <row r="775" spans="1:24" ht="14" x14ac:dyDescent="0.2">
      <c r="A775" s="224"/>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row>
    <row r="776" spans="1:24" ht="14" x14ac:dyDescent="0.2">
      <c r="A776" s="224"/>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row>
    <row r="777" spans="1:24" ht="14" x14ac:dyDescent="0.2">
      <c r="A777" s="224"/>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row>
    <row r="778" spans="1:24" ht="14" x14ac:dyDescent="0.2">
      <c r="A778" s="224"/>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row>
    <row r="779" spans="1:24" ht="14" x14ac:dyDescent="0.2">
      <c r="A779" s="224"/>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row>
    <row r="780" spans="1:24" ht="14" x14ac:dyDescent="0.2">
      <c r="A780" s="224"/>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row>
    <row r="781" spans="1:24" ht="14" x14ac:dyDescent="0.2">
      <c r="A781" s="224"/>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row>
    <row r="782" spans="1:24" ht="14" x14ac:dyDescent="0.2">
      <c r="A782" s="224"/>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row>
    <row r="783" spans="1:24" ht="14" x14ac:dyDescent="0.2">
      <c r="A783" s="224"/>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row>
    <row r="784" spans="1:24" ht="14" x14ac:dyDescent="0.2">
      <c r="A784" s="224"/>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row>
    <row r="785" spans="1:24" ht="14" x14ac:dyDescent="0.2">
      <c r="A785" s="224"/>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row>
    <row r="786" spans="1:24" ht="14" x14ac:dyDescent="0.2">
      <c r="A786" s="224"/>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row>
    <row r="787" spans="1:24" ht="14" x14ac:dyDescent="0.2">
      <c r="A787" s="224"/>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row>
    <row r="788" spans="1:24" ht="14" x14ac:dyDescent="0.2">
      <c r="A788" s="224"/>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row>
    <row r="789" spans="1:24" ht="14" x14ac:dyDescent="0.2">
      <c r="A789" s="224"/>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row>
    <row r="790" spans="1:24" ht="14" x14ac:dyDescent="0.2">
      <c r="A790" s="224"/>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row>
    <row r="791" spans="1:24" ht="14" x14ac:dyDescent="0.2">
      <c r="A791" s="224"/>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row>
    <row r="792" spans="1:24" ht="14" x14ac:dyDescent="0.2">
      <c r="A792" s="224"/>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row>
    <row r="793" spans="1:24" ht="14" x14ac:dyDescent="0.2">
      <c r="A793" s="224"/>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row>
    <row r="794" spans="1:24" ht="14" x14ac:dyDescent="0.2">
      <c r="A794" s="224"/>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row>
    <row r="795" spans="1:24" ht="14" x14ac:dyDescent="0.2">
      <c r="A795" s="224"/>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row>
    <row r="796" spans="1:24" ht="14" x14ac:dyDescent="0.2">
      <c r="A796" s="224"/>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row>
    <row r="797" spans="1:24" ht="14" x14ac:dyDescent="0.2">
      <c r="A797" s="224"/>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row>
    <row r="798" spans="1:24" ht="14" x14ac:dyDescent="0.2">
      <c r="A798" s="224"/>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row>
    <row r="799" spans="1:24" ht="14" x14ac:dyDescent="0.2">
      <c r="A799" s="224"/>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row>
    <row r="800" spans="1:24" ht="14" x14ac:dyDescent="0.2">
      <c r="A800" s="224"/>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row>
    <row r="801" spans="1:24" ht="14" x14ac:dyDescent="0.2">
      <c r="A801" s="224"/>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row>
    <row r="802" spans="1:24" ht="14" x14ac:dyDescent="0.2">
      <c r="A802" s="224"/>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row>
    <row r="803" spans="1:24" ht="14" x14ac:dyDescent="0.2">
      <c r="A803" s="224"/>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row>
    <row r="804" spans="1:24" ht="14" x14ac:dyDescent="0.2">
      <c r="A804" s="224"/>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row>
    <row r="805" spans="1:24" ht="14" x14ac:dyDescent="0.2">
      <c r="A805" s="224"/>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row>
    <row r="806" spans="1:24" ht="14" x14ac:dyDescent="0.2">
      <c r="A806" s="224"/>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row>
    <row r="807" spans="1:24" ht="14" x14ac:dyDescent="0.2">
      <c r="A807" s="224"/>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row>
    <row r="808" spans="1:24" ht="14" x14ac:dyDescent="0.2">
      <c r="A808" s="224"/>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row>
    <row r="809" spans="1:24" ht="14" x14ac:dyDescent="0.2">
      <c r="A809" s="224"/>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row>
    <row r="810" spans="1:24" ht="14" x14ac:dyDescent="0.2">
      <c r="A810" s="224"/>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row>
    <row r="811" spans="1:24" ht="14" x14ac:dyDescent="0.2">
      <c r="A811" s="224"/>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row>
    <row r="812" spans="1:24" ht="14" x14ac:dyDescent="0.2">
      <c r="A812" s="224"/>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row>
    <row r="813" spans="1:24" ht="14" x14ac:dyDescent="0.2">
      <c r="A813" s="224"/>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row>
    <row r="814" spans="1:24" ht="14" x14ac:dyDescent="0.2">
      <c r="A814" s="224"/>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row>
    <row r="815" spans="1:24" ht="14" x14ac:dyDescent="0.2">
      <c r="A815" s="224"/>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row>
    <row r="816" spans="1:24" ht="14" x14ac:dyDescent="0.2">
      <c r="A816" s="224"/>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row>
    <row r="817" spans="1:24" ht="14" x14ac:dyDescent="0.2">
      <c r="A817" s="224"/>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row>
    <row r="818" spans="1:24" ht="14" x14ac:dyDescent="0.2">
      <c r="A818" s="224"/>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row>
    <row r="819" spans="1:24" ht="14" x14ac:dyDescent="0.2">
      <c r="A819" s="224"/>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row>
    <row r="820" spans="1:24" ht="14" x14ac:dyDescent="0.2">
      <c r="A820" s="224"/>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row>
    <row r="821" spans="1:24" ht="14" x14ac:dyDescent="0.2">
      <c r="A821" s="224"/>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row>
    <row r="822" spans="1:24" ht="14" x14ac:dyDescent="0.2">
      <c r="A822" s="224"/>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row>
    <row r="823" spans="1:24" ht="14" x14ac:dyDescent="0.2">
      <c r="A823" s="224"/>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row>
    <row r="824" spans="1:24" ht="14" x14ac:dyDescent="0.2">
      <c r="A824" s="224"/>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row>
    <row r="825" spans="1:24" ht="14" x14ac:dyDescent="0.2">
      <c r="A825" s="224"/>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row>
    <row r="826" spans="1:24" ht="14" x14ac:dyDescent="0.2">
      <c r="A826" s="224"/>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row>
    <row r="827" spans="1:24" ht="14" x14ac:dyDescent="0.2">
      <c r="A827" s="224"/>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row>
    <row r="828" spans="1:24" ht="14" x14ac:dyDescent="0.2">
      <c r="A828" s="224"/>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row>
    <row r="829" spans="1:24" ht="14" x14ac:dyDescent="0.2">
      <c r="A829" s="224"/>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row>
    <row r="830" spans="1:24" ht="14" x14ac:dyDescent="0.2">
      <c r="A830" s="224"/>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row>
    <row r="831" spans="1:24" ht="14" x14ac:dyDescent="0.2">
      <c r="A831" s="224"/>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row>
    <row r="832" spans="1:24" ht="14" x14ac:dyDescent="0.2">
      <c r="A832" s="224"/>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row>
    <row r="833" spans="1:24" ht="14" x14ac:dyDescent="0.2">
      <c r="A833" s="224"/>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row>
    <row r="834" spans="1:24" ht="14" x14ac:dyDescent="0.2">
      <c r="A834" s="224"/>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row>
    <row r="835" spans="1:24" ht="14" x14ac:dyDescent="0.2">
      <c r="A835" s="224"/>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row>
    <row r="836" spans="1:24" ht="14" x14ac:dyDescent="0.2">
      <c r="A836" s="224"/>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row>
    <row r="837" spans="1:24" ht="14" x14ac:dyDescent="0.2">
      <c r="A837" s="224"/>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row>
    <row r="838" spans="1:24" ht="14" x14ac:dyDescent="0.2">
      <c r="A838" s="224"/>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row>
    <row r="839" spans="1:24" ht="14" x14ac:dyDescent="0.2">
      <c r="A839" s="224"/>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row>
    <row r="840" spans="1:24" ht="14" x14ac:dyDescent="0.2">
      <c r="A840" s="224"/>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row>
    <row r="841" spans="1:24" ht="14" x14ac:dyDescent="0.2">
      <c r="A841" s="224"/>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row>
    <row r="842" spans="1:24" ht="14" x14ac:dyDescent="0.2">
      <c r="A842" s="224"/>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row>
    <row r="843" spans="1:24" ht="14" x14ac:dyDescent="0.2">
      <c r="A843" s="224"/>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row>
    <row r="844" spans="1:24" ht="14" x14ac:dyDescent="0.2">
      <c r="A844" s="224"/>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row>
    <row r="845" spans="1:24" ht="14" x14ac:dyDescent="0.2">
      <c r="A845" s="224"/>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row>
    <row r="846" spans="1:24" ht="14" x14ac:dyDescent="0.2">
      <c r="A846" s="224"/>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row>
    <row r="847" spans="1:24" ht="14" x14ac:dyDescent="0.2">
      <c r="A847" s="224"/>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row>
    <row r="848" spans="1:24" ht="14" x14ac:dyDescent="0.2">
      <c r="A848" s="224"/>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row>
    <row r="849" spans="1:24" ht="14" x14ac:dyDescent="0.2">
      <c r="A849" s="224"/>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row>
    <row r="850" spans="1:24" ht="14" x14ac:dyDescent="0.2">
      <c r="A850" s="224"/>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row>
    <row r="851" spans="1:24" ht="14" x14ac:dyDescent="0.2">
      <c r="A851" s="224"/>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row>
    <row r="852" spans="1:24" ht="14" x14ac:dyDescent="0.2">
      <c r="A852" s="224"/>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row>
    <row r="853" spans="1:24" ht="14" x14ac:dyDescent="0.2">
      <c r="A853" s="224"/>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row>
    <row r="854" spans="1:24" ht="14" x14ac:dyDescent="0.2">
      <c r="A854" s="224"/>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row>
    <row r="855" spans="1:24" ht="14" x14ac:dyDescent="0.2">
      <c r="A855" s="224"/>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row>
    <row r="856" spans="1:24" ht="14" x14ac:dyDescent="0.2">
      <c r="A856" s="224"/>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row>
    <row r="857" spans="1:24" ht="14" x14ac:dyDescent="0.2">
      <c r="A857" s="224"/>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row>
    <row r="858" spans="1:24" ht="14" x14ac:dyDescent="0.2">
      <c r="A858" s="224"/>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row>
    <row r="859" spans="1:24" ht="14" x14ac:dyDescent="0.2">
      <c r="A859" s="224"/>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row>
    <row r="860" spans="1:24" ht="14" x14ac:dyDescent="0.2">
      <c r="A860" s="224"/>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row>
    <row r="861" spans="1:24" ht="14" x14ac:dyDescent="0.2">
      <c r="A861" s="224"/>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row>
    <row r="862" spans="1:24" ht="14" x14ac:dyDescent="0.2">
      <c r="A862" s="224"/>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row>
    <row r="863" spans="1:24" ht="14" x14ac:dyDescent="0.2">
      <c r="A863" s="224"/>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row>
    <row r="864" spans="1:24" ht="14" x14ac:dyDescent="0.2">
      <c r="A864" s="224"/>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row>
    <row r="865" spans="1:24" ht="14" x14ac:dyDescent="0.2">
      <c r="A865" s="224"/>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row>
    <row r="866" spans="1:24" ht="14" x14ac:dyDescent="0.2">
      <c r="A866" s="224"/>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row>
    <row r="867" spans="1:24" ht="14" x14ac:dyDescent="0.2">
      <c r="A867" s="224"/>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row>
    <row r="868" spans="1:24" ht="14" x14ac:dyDescent="0.2">
      <c r="A868" s="224"/>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row>
    <row r="869" spans="1:24" ht="14" x14ac:dyDescent="0.2">
      <c r="A869" s="224"/>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row>
    <row r="870" spans="1:24" ht="14" x14ac:dyDescent="0.2">
      <c r="A870" s="224"/>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row>
    <row r="871" spans="1:24" ht="14" x14ac:dyDescent="0.2">
      <c r="A871" s="224"/>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row>
    <row r="872" spans="1:24" ht="14" x14ac:dyDescent="0.2">
      <c r="A872" s="224"/>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row>
    <row r="873" spans="1:24" ht="14" x14ac:dyDescent="0.2">
      <c r="A873" s="224"/>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row>
    <row r="874" spans="1:24" ht="14" x14ac:dyDescent="0.2">
      <c r="A874" s="224"/>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row>
    <row r="875" spans="1:24" ht="14" x14ac:dyDescent="0.2">
      <c r="A875" s="224"/>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row>
    <row r="876" spans="1:24" ht="14" x14ac:dyDescent="0.2">
      <c r="A876" s="224"/>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row>
    <row r="877" spans="1:24" ht="14" x14ac:dyDescent="0.2">
      <c r="A877" s="224"/>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row>
    <row r="878" spans="1:24" ht="14" x14ac:dyDescent="0.2">
      <c r="A878" s="224"/>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row>
    <row r="879" spans="1:24" ht="14" x14ac:dyDescent="0.2">
      <c r="A879" s="224"/>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row>
    <row r="880" spans="1:24" ht="14" x14ac:dyDescent="0.2">
      <c r="A880" s="224"/>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row>
    <row r="881" spans="1:24" ht="14" x14ac:dyDescent="0.2">
      <c r="A881" s="224"/>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row>
    <row r="882" spans="1:24" ht="14" x14ac:dyDescent="0.2">
      <c r="A882" s="224"/>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row>
    <row r="883" spans="1:24" ht="14" x14ac:dyDescent="0.2">
      <c r="A883" s="224"/>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row>
    <row r="884" spans="1:24" ht="14" x14ac:dyDescent="0.2">
      <c r="A884" s="224"/>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row>
    <row r="885" spans="1:24" ht="14" x14ac:dyDescent="0.2">
      <c r="A885" s="224"/>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row>
    <row r="886" spans="1:24" ht="14" x14ac:dyDescent="0.2">
      <c r="A886" s="224"/>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row>
    <row r="887" spans="1:24" ht="14" x14ac:dyDescent="0.2">
      <c r="A887" s="224"/>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row>
    <row r="888" spans="1:24" ht="14" x14ac:dyDescent="0.2">
      <c r="A888" s="224"/>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row>
    <row r="889" spans="1:24" ht="14" x14ac:dyDescent="0.2">
      <c r="A889" s="224"/>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row>
    <row r="890" spans="1:24" ht="14" x14ac:dyDescent="0.2">
      <c r="A890" s="224"/>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row>
    <row r="891" spans="1:24" ht="14" x14ac:dyDescent="0.2">
      <c r="A891" s="224"/>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row>
    <row r="892" spans="1:24" ht="14" x14ac:dyDescent="0.2">
      <c r="A892" s="224"/>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row>
    <row r="893" spans="1:24" ht="14" x14ac:dyDescent="0.2">
      <c r="A893" s="224"/>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row>
    <row r="894" spans="1:24" ht="14" x14ac:dyDescent="0.2">
      <c r="A894" s="224"/>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row>
    <row r="895" spans="1:24" ht="14" x14ac:dyDescent="0.2">
      <c r="A895" s="224"/>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row>
    <row r="896" spans="1:24" ht="14" x14ac:dyDescent="0.2">
      <c r="A896" s="224"/>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row>
    <row r="897" spans="1:24" ht="14" x14ac:dyDescent="0.2">
      <c r="A897" s="224"/>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row>
    <row r="898" spans="1:24" ht="14" x14ac:dyDescent="0.2">
      <c r="A898" s="224"/>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row>
    <row r="899" spans="1:24" ht="14" x14ac:dyDescent="0.2">
      <c r="A899" s="224"/>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row>
    <row r="900" spans="1:24" ht="14" x14ac:dyDescent="0.2">
      <c r="A900" s="224"/>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row>
    <row r="901" spans="1:24" ht="14" x14ac:dyDescent="0.2">
      <c r="A901" s="224"/>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row>
    <row r="902" spans="1:24" ht="14" x14ac:dyDescent="0.2">
      <c r="A902" s="224"/>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row>
    <row r="903" spans="1:24" ht="14" x14ac:dyDescent="0.2">
      <c r="A903" s="224"/>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row>
    <row r="904" spans="1:24" ht="14" x14ac:dyDescent="0.2">
      <c r="A904" s="224"/>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row>
    <row r="905" spans="1:24" ht="14" x14ac:dyDescent="0.2">
      <c r="A905" s="224"/>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row>
    <row r="906" spans="1:24" ht="14" x14ac:dyDescent="0.2">
      <c r="A906" s="224"/>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row>
    <row r="907" spans="1:24" ht="14" x14ac:dyDescent="0.2">
      <c r="A907" s="224"/>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row>
    <row r="908" spans="1:24" ht="14" x14ac:dyDescent="0.2">
      <c r="A908" s="224"/>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row>
    <row r="909" spans="1:24" ht="14" x14ac:dyDescent="0.2">
      <c r="A909" s="224"/>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row>
    <row r="910" spans="1:24" ht="14" x14ac:dyDescent="0.2">
      <c r="A910" s="224"/>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row>
    <row r="911" spans="1:24" ht="14" x14ac:dyDescent="0.2">
      <c r="A911" s="224"/>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row>
    <row r="912" spans="1:24" ht="14" x14ac:dyDescent="0.2">
      <c r="A912" s="224"/>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row>
    <row r="913" spans="1:24" ht="14" x14ac:dyDescent="0.2">
      <c r="A913" s="224"/>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row>
    <row r="914" spans="1:24" ht="14" x14ac:dyDescent="0.2">
      <c r="A914" s="224"/>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row>
    <row r="915" spans="1:24" ht="14" x14ac:dyDescent="0.2">
      <c r="A915" s="224"/>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row>
    <row r="916" spans="1:24" ht="14" x14ac:dyDescent="0.2">
      <c r="A916" s="224"/>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row>
    <row r="917" spans="1:24" ht="14" x14ac:dyDescent="0.2">
      <c r="A917" s="224"/>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row>
    <row r="918" spans="1:24" ht="14" x14ac:dyDescent="0.2">
      <c r="A918" s="224"/>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row>
    <row r="919" spans="1:24" ht="14" x14ac:dyDescent="0.2">
      <c r="A919" s="224"/>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row>
    <row r="920" spans="1:24" ht="14" x14ac:dyDescent="0.2">
      <c r="A920" s="224"/>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row>
    <row r="921" spans="1:24" ht="14" x14ac:dyDescent="0.2">
      <c r="A921" s="224"/>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row>
    <row r="922" spans="1:24" ht="14" x14ac:dyDescent="0.2">
      <c r="A922" s="224"/>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row>
    <row r="923" spans="1:24" ht="14" x14ac:dyDescent="0.2">
      <c r="A923" s="224"/>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row>
    <row r="924" spans="1:24" ht="14" x14ac:dyDescent="0.2">
      <c r="A924" s="224"/>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row>
    <row r="925" spans="1:24" ht="14" x14ac:dyDescent="0.2">
      <c r="A925" s="224"/>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row>
    <row r="926" spans="1:24" ht="14" x14ac:dyDescent="0.2">
      <c r="A926" s="224"/>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row>
    <row r="927" spans="1:24" ht="14" x14ac:dyDescent="0.2">
      <c r="A927" s="224"/>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row>
    <row r="928" spans="1:24" ht="14" x14ac:dyDescent="0.2">
      <c r="A928" s="224"/>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row>
    <row r="929" spans="1:24" ht="14" x14ac:dyDescent="0.2">
      <c r="A929" s="224"/>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row>
    <row r="930" spans="1:24" ht="14" x14ac:dyDescent="0.2">
      <c r="A930" s="224"/>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row>
    <row r="931" spans="1:24" ht="14" x14ac:dyDescent="0.2">
      <c r="A931" s="224"/>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row>
    <row r="932" spans="1:24" ht="14" x14ac:dyDescent="0.2">
      <c r="A932" s="224"/>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row>
    <row r="933" spans="1:24" ht="14" x14ac:dyDescent="0.2">
      <c r="A933" s="224"/>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row>
    <row r="934" spans="1:24" ht="14" x14ac:dyDescent="0.2">
      <c r="A934" s="224"/>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row>
    <row r="935" spans="1:24" ht="14" x14ac:dyDescent="0.2">
      <c r="A935" s="224"/>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row>
    <row r="936" spans="1:24" ht="14" x14ac:dyDescent="0.2">
      <c r="A936" s="224"/>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row>
    <row r="937" spans="1:24" ht="14" x14ac:dyDescent="0.2">
      <c r="A937" s="224"/>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row>
    <row r="938" spans="1:24" ht="14" x14ac:dyDescent="0.2">
      <c r="A938" s="224"/>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row>
    <row r="939" spans="1:24" ht="14" x14ac:dyDescent="0.2">
      <c r="A939" s="224"/>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row>
    <row r="940" spans="1:24" ht="14" x14ac:dyDescent="0.2">
      <c r="A940" s="224"/>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row>
    <row r="941" spans="1:24" ht="14" x14ac:dyDescent="0.2">
      <c r="A941" s="224"/>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row>
    <row r="942" spans="1:24" ht="14" x14ac:dyDescent="0.2">
      <c r="A942" s="224"/>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row>
    <row r="943" spans="1:24" ht="14" x14ac:dyDescent="0.2">
      <c r="A943" s="224"/>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row>
    <row r="944" spans="1:24" ht="14" x14ac:dyDescent="0.2">
      <c r="A944" s="224"/>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row>
    <row r="945" spans="1:24" ht="14" x14ac:dyDescent="0.2">
      <c r="A945" s="224"/>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row>
    <row r="946" spans="1:24" ht="14" x14ac:dyDescent="0.2">
      <c r="A946" s="224"/>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row>
    <row r="947" spans="1:24" ht="14" x14ac:dyDescent="0.2">
      <c r="A947" s="224"/>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row>
    <row r="948" spans="1:24" ht="14" x14ac:dyDescent="0.2">
      <c r="A948" s="224"/>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row>
    <row r="949" spans="1:24" ht="14" x14ac:dyDescent="0.2">
      <c r="A949" s="224"/>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row>
    <row r="950" spans="1:24" ht="14" x14ac:dyDescent="0.2">
      <c r="A950" s="224"/>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row>
    <row r="951" spans="1:24" ht="14" x14ac:dyDescent="0.2">
      <c r="A951" s="224"/>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row>
    <row r="952" spans="1:24" ht="14" x14ac:dyDescent="0.2">
      <c r="A952" s="224"/>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row>
    <row r="953" spans="1:24" ht="14" x14ac:dyDescent="0.2">
      <c r="A953" s="224"/>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row>
    <row r="954" spans="1:24" ht="14" x14ac:dyDescent="0.2">
      <c r="A954" s="224"/>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row>
    <row r="955" spans="1:24" ht="14" x14ac:dyDescent="0.2">
      <c r="A955" s="224"/>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row>
    <row r="956" spans="1:24" ht="14" x14ac:dyDescent="0.2">
      <c r="A956" s="224"/>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row>
    <row r="957" spans="1:24" ht="14" x14ac:dyDescent="0.2">
      <c r="A957" s="224"/>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row>
    <row r="958" spans="1:24" ht="14" x14ac:dyDescent="0.2">
      <c r="A958" s="224"/>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row>
    <row r="959" spans="1:24" ht="14" x14ac:dyDescent="0.2">
      <c r="A959" s="224"/>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row>
    <row r="960" spans="1:24" ht="14" x14ac:dyDescent="0.2">
      <c r="A960" s="224"/>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row>
    <row r="961" spans="1:24" ht="14" x14ac:dyDescent="0.2">
      <c r="A961" s="224"/>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row>
    <row r="962" spans="1:24" ht="14" x14ac:dyDescent="0.2">
      <c r="A962" s="224"/>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row>
    <row r="963" spans="1:24" ht="14" x14ac:dyDescent="0.2">
      <c r="A963" s="224"/>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A36" sqref="A36"/>
    </sheetView>
  </sheetViews>
  <sheetFormatPr baseColWidth="10" defaultColWidth="0" defaultRowHeight="15.75" customHeight="1" zeroHeight="1" x14ac:dyDescent="0.2"/>
  <cols>
    <col min="1" max="1" width="67" style="5" bestFit="1" customWidth="1"/>
    <col min="2" max="2" width="28.625" style="5" bestFit="1" customWidth="1"/>
    <col min="3" max="3" width="2.625" style="226" customWidth="1"/>
    <col min="4" max="4" width="78.125" style="5" customWidth="1"/>
    <col min="5" max="5" width="2.625" style="228" customWidth="1"/>
    <col min="6" max="6" width="101.625" style="5" customWidth="1"/>
    <col min="7" max="7" width="2.625" style="228" customWidth="1"/>
    <col min="8" max="8" width="73" style="5" customWidth="1"/>
    <col min="9" max="9" width="2.625" style="228" customWidth="1"/>
    <col min="10" max="10" width="14.625" style="5" customWidth="1"/>
    <col min="11" max="11" width="2.625" style="228" customWidth="1"/>
    <col min="12" max="12" width="14.625" style="5" customWidth="1"/>
    <col min="13" max="13" width="2.625" style="228" customWidth="1"/>
    <col min="14" max="14" width="8.75" style="5" customWidth="1"/>
    <col min="15" max="15" width="40.125" style="5" bestFit="1" customWidth="1"/>
    <col min="16" max="17" width="8.75" style="5" customWidth="1"/>
    <col min="18" max="34" width="0" style="5" hidden="1" customWidth="1"/>
    <col min="35" max="16384" width="8.75" style="5" hidden="1"/>
  </cols>
  <sheetData>
    <row r="1" spans="1:34" ht="15.75" hidden="1" customHeight="1" x14ac:dyDescent="0.2">
      <c r="A1" s="240" t="s">
        <v>1454</v>
      </c>
    </row>
    <row r="2" spans="1:34" ht="14" x14ac:dyDescent="0.2">
      <c r="A2" s="7" t="s">
        <v>1442</v>
      </c>
      <c r="B2" s="7" t="s">
        <v>846</v>
      </c>
      <c r="C2" s="225"/>
      <c r="D2" s="7" t="s">
        <v>865</v>
      </c>
      <c r="E2" s="227"/>
      <c r="F2" s="7" t="s">
        <v>939</v>
      </c>
      <c r="G2" s="227"/>
      <c r="H2" s="7" t="s">
        <v>1151</v>
      </c>
      <c r="I2" s="227"/>
      <c r="J2" s="91" t="s">
        <v>853</v>
      </c>
      <c r="K2" s="231"/>
      <c r="L2" s="91" t="s">
        <v>1155</v>
      </c>
      <c r="M2" s="231"/>
      <c r="N2" s="91" t="s">
        <v>957</v>
      </c>
      <c r="P2" s="62"/>
      <c r="Q2" s="7"/>
      <c r="R2" s="7"/>
      <c r="S2" s="7"/>
      <c r="T2" s="7"/>
      <c r="U2" s="7"/>
      <c r="V2" s="7"/>
      <c r="W2" s="7"/>
      <c r="X2" s="7"/>
      <c r="Y2" s="7"/>
      <c r="Z2" s="7"/>
      <c r="AA2" s="7"/>
      <c r="AB2" s="7"/>
      <c r="AC2" s="7"/>
      <c r="AD2" s="7"/>
      <c r="AE2" s="7"/>
      <c r="AF2" s="7"/>
      <c r="AG2" s="7"/>
      <c r="AH2" s="7"/>
    </row>
    <row r="3" spans="1:34" ht="14" x14ac:dyDescent="0.2">
      <c r="A3" s="6" t="s">
        <v>1488</v>
      </c>
      <c r="B3" s="6" t="s">
        <v>845</v>
      </c>
      <c r="D3" s="6" t="s">
        <v>820</v>
      </c>
      <c r="F3" s="6" t="s">
        <v>1149</v>
      </c>
      <c r="H3" s="215" t="s">
        <v>1031</v>
      </c>
      <c r="I3" s="229"/>
      <c r="J3" s="5" t="s">
        <v>40</v>
      </c>
      <c r="L3" s="5" t="s">
        <v>950</v>
      </c>
      <c r="N3" s="92" t="s">
        <v>955</v>
      </c>
      <c r="O3" s="92" t="s">
        <v>956</v>
      </c>
      <c r="P3" s="93" t="s">
        <v>937</v>
      </c>
    </row>
    <row r="4" spans="1:34" ht="14" x14ac:dyDescent="0.2">
      <c r="A4" s="6" t="s">
        <v>1489</v>
      </c>
      <c r="B4" s="6" t="s">
        <v>844</v>
      </c>
      <c r="D4" s="6" t="s">
        <v>1470</v>
      </c>
      <c r="F4" s="6" t="s">
        <v>872</v>
      </c>
      <c r="H4" s="6" t="s">
        <v>1032</v>
      </c>
      <c r="I4" s="230"/>
      <c r="J4" s="5" t="s">
        <v>148</v>
      </c>
      <c r="L4" s="5" t="s">
        <v>593</v>
      </c>
      <c r="N4" s="352" t="s">
        <v>874</v>
      </c>
      <c r="O4" s="5" t="s">
        <v>875</v>
      </c>
      <c r="P4" s="62">
        <f>COUNTIF('(backend scoring)'!$B:$B,'Auto Responses'!$N4)</f>
      </c>
    </row>
    <row r="5" spans="1:34" ht="14" x14ac:dyDescent="0.2">
      <c r="A5" s="6" t="s">
        <v>1490</v>
      </c>
      <c r="B5" s="6" t="s">
        <v>843</v>
      </c>
      <c r="D5" s="6" t="s">
        <v>1503</v>
      </c>
      <c r="F5" s="6" t="s">
        <v>1404</v>
      </c>
      <c r="H5" s="6" t="s">
        <v>1511</v>
      </c>
      <c r="I5" s="230"/>
      <c r="J5" s="5" t="s">
        <v>1525</v>
      </c>
      <c r="L5" s="5" t="s">
        <v>951</v>
      </c>
      <c r="N5" s="352" t="s">
        <v>876</v>
      </c>
      <c r="O5" s="5" t="s">
        <v>877</v>
      </c>
      <c r="P5" s="62">
        <f>COUNTIF('(backend scoring)'!$B:$B,'Auto Responses'!$N5)</f>
      </c>
    </row>
    <row r="6" spans="1:34" ht="14" x14ac:dyDescent="0.2">
      <c r="A6" s="6" t="s">
        <v>1491</v>
      </c>
      <c r="B6" s="6" t="s">
        <v>842</v>
      </c>
      <c r="D6" s="6" t="s">
        <v>1519</v>
      </c>
      <c r="F6" s="6" t="s">
        <v>1407</v>
      </c>
      <c r="L6" s="5" t="s">
        <v>952</v>
      </c>
      <c r="N6" s="352" t="s">
        <v>878</v>
      </c>
      <c r="O6" s="5" t="s">
        <v>879</v>
      </c>
      <c r="P6" s="62">
        <f>COUNTIF('(backend scoring)'!$B:$B,'Auto Responses'!$N6)</f>
      </c>
    </row>
    <row r="7" spans="1:34" ht="14" x14ac:dyDescent="0.2">
      <c r="A7" s="6" t="s">
        <v>1492</v>
      </c>
      <c r="B7" s="6" t="s">
        <v>841</v>
      </c>
      <c r="D7" s="6" t="s">
        <v>1408</v>
      </c>
      <c r="F7" s="6" t="s">
        <v>1150</v>
      </c>
      <c r="J7" s="5" t="s">
        <v>854</v>
      </c>
      <c r="L7" s="5" t="s">
        <v>953</v>
      </c>
      <c r="N7" s="352" t="s">
        <v>880</v>
      </c>
      <c r="O7" s="5" t="s">
        <v>881</v>
      </c>
      <c r="P7" s="62">
        <f>COUNTIF('(backend scoring)'!$B:$B,'Auto Responses'!$N7)</f>
      </c>
    </row>
    <row r="8" spans="1:34" ht="14" x14ac:dyDescent="0.2">
      <c r="A8" s="6" t="s">
        <v>1493</v>
      </c>
      <c r="B8" s="6" t="s">
        <v>840</v>
      </c>
      <c r="D8" s="5" t="s">
        <v>1403</v>
      </c>
      <c r="F8" s="5" t="s">
        <v>1467</v>
      </c>
      <c r="J8" s="5" t="s">
        <v>855</v>
      </c>
      <c r="L8" s="5" t="s">
        <v>954</v>
      </c>
      <c r="N8" s="352" t="s">
        <v>882</v>
      </c>
      <c r="O8" s="5" t="s">
        <v>883</v>
      </c>
      <c r="P8" s="62">
        <f>COUNTIF('(backend scoring)'!$B:$B,'Auto Responses'!$N8)</f>
      </c>
    </row>
    <row r="9" spans="1:34" ht="14" x14ac:dyDescent="0.2">
      <c r="A9" s="6" t="s">
        <v>1494</v>
      </c>
      <c r="B9" s="6" t="s">
        <v>839</v>
      </c>
      <c r="D9" s="5" t="s">
        <v>1468</v>
      </c>
      <c r="L9" s="5" t="s">
        <v>646</v>
      </c>
      <c r="N9" s="352" t="s">
        <v>884</v>
      </c>
      <c r="O9" s="5" t="s">
        <v>885</v>
      </c>
      <c r="P9" s="62">
        <f>COUNTIF('(backend scoring)'!$B:$B,'Auto Responses'!$N9)</f>
      </c>
    </row>
    <row r="10" spans="1:34" ht="14" x14ac:dyDescent="0.2">
      <c r="A10" s="6" t="s">
        <v>1700</v>
      </c>
      <c r="B10" s="6" t="s">
        <v>838</v>
      </c>
      <c r="N10" s="352" t="s">
        <v>886</v>
      </c>
      <c r="O10" s="5" t="s">
        <v>887</v>
      </c>
      <c r="P10" s="62">
        <f>COUNTIF('(backend scoring)'!$B:$B,'Auto Responses'!$N10)</f>
      </c>
    </row>
    <row r="11" spans="1:34" ht="14" x14ac:dyDescent="0.2">
      <c r="A11" s="6" t="s">
        <v>1701</v>
      </c>
      <c r="B11" s="6" t="s">
        <v>837</v>
      </c>
      <c r="J11" s="5" t="s">
        <v>46</v>
      </c>
      <c r="N11" s="352" t="s">
        <v>888</v>
      </c>
      <c r="O11" s="5" t="s">
        <v>889</v>
      </c>
      <c r="P11" s="62">
        <f>COUNTIF('(backend scoring)'!$B:$B,'Auto Responses'!$N11)</f>
      </c>
    </row>
    <row r="12" spans="1:34" ht="14" x14ac:dyDescent="0.2">
      <c r="A12" s="6" t="s">
        <v>1138</v>
      </c>
      <c r="B12" s="6" t="s">
        <v>836</v>
      </c>
      <c r="F12" s="6"/>
      <c r="J12" s="5" t="s">
        <v>75</v>
      </c>
      <c r="L12" s="91" t="s">
        <v>1858</v>
      </c>
      <c r="N12" s="352" t="s">
        <v>890</v>
      </c>
      <c r="O12" s="5" t="s">
        <v>1439</v>
      </c>
      <c r="P12" s="62">
        <f>COUNTIF('(backend scoring)'!$B:$B,'Auto Responses'!$N12)</f>
      </c>
    </row>
    <row r="13" spans="1:34" ht="14" x14ac:dyDescent="0.2">
      <c r="A13" s="6" t="s">
        <v>1139</v>
      </c>
      <c r="B13" s="6" t="s">
        <v>835</v>
      </c>
      <c r="F13" s="6"/>
      <c r="J13" s="5" t="s">
        <v>41</v>
      </c>
      <c r="L13" s="5" t="s">
        <v>23</v>
      </c>
      <c r="N13" s="352" t="s">
        <v>891</v>
      </c>
      <c r="O13" s="5" t="s">
        <v>892</v>
      </c>
      <c r="P13" s="62">
        <f>COUNTIF('(backend scoring)'!$B:$B,'Auto Responses'!$N13)</f>
      </c>
    </row>
    <row r="14" spans="1:34" ht="14" x14ac:dyDescent="0.2">
      <c r="A14" s="6" t="s">
        <v>53</v>
      </c>
      <c r="B14" s="6" t="s">
        <v>834</v>
      </c>
      <c r="J14" s="5" t="s">
        <v>868</v>
      </c>
      <c r="L14" s="5" t="s">
        <v>1859</v>
      </c>
      <c r="N14" s="352" t="s">
        <v>893</v>
      </c>
      <c r="O14" s="5" t="s">
        <v>894</v>
      </c>
      <c r="P14" s="62">
        <f>COUNTIF('(backend scoring)'!$B:$B,'Auto Responses'!$N14)</f>
      </c>
    </row>
    <row r="15" spans="1:34" ht="14" x14ac:dyDescent="0.2">
      <c r="A15" s="6" t="s">
        <v>52</v>
      </c>
      <c r="B15" s="6" t="s">
        <v>833</v>
      </c>
      <c r="L15" s="5" t="s">
        <v>131</v>
      </c>
      <c r="N15" s="352" t="s">
        <v>895</v>
      </c>
      <c r="O15" s="5" t="s">
        <v>896</v>
      </c>
      <c r="P15" s="62">
        <f>COUNTIF('(backend scoring)'!$B:$B,'Auto Responses'!$N15)</f>
      </c>
    </row>
    <row r="16" spans="1:34" ht="14" x14ac:dyDescent="0.2">
      <c r="A16" s="6" t="s">
        <v>1140</v>
      </c>
      <c r="B16" s="6" t="s">
        <v>832</v>
      </c>
      <c r="L16" s="5" t="s">
        <v>4</v>
      </c>
      <c r="N16" s="352" t="s">
        <v>897</v>
      </c>
      <c r="O16" s="5" t="s">
        <v>1516</v>
      </c>
      <c r="P16" s="62">
        <f>COUNTIF('(backend scoring)'!$B:$B,'Auto Responses'!$N16)</f>
      </c>
    </row>
    <row r="17" spans="1:20" ht="14" x14ac:dyDescent="0.2">
      <c r="A17" s="6" t="s">
        <v>1141</v>
      </c>
      <c r="B17" s="6" t="s">
        <v>831</v>
      </c>
      <c r="J17" s="5" t="s">
        <v>1152</v>
      </c>
      <c r="L17" s="5" t="s">
        <v>162</v>
      </c>
      <c r="N17" s="352" t="s">
        <v>898</v>
      </c>
      <c r="O17" s="5" t="s">
        <v>899</v>
      </c>
      <c r="P17" s="62">
        <f>COUNTIF('(backend scoring)'!$B:$B,'Auto Responses'!$N17)</f>
      </c>
    </row>
    <row r="18" spans="1:20" ht="14" x14ac:dyDescent="0.2">
      <c r="A18" s="6" t="s">
        <v>1142</v>
      </c>
      <c r="B18" s="6" t="s">
        <v>830</v>
      </c>
      <c r="J18" s="5" t="s">
        <v>1153</v>
      </c>
      <c r="L18" s="5" t="s">
        <v>98</v>
      </c>
      <c r="N18" s="352" t="s">
        <v>900</v>
      </c>
      <c r="O18" s="5" t="s">
        <v>901</v>
      </c>
      <c r="P18" s="62">
        <f>COUNTIF('(backend scoring)'!$B:$B,'Auto Responses'!$N18)</f>
      </c>
    </row>
    <row r="19" spans="1:20" ht="14" x14ac:dyDescent="0.2">
      <c r="A19" s="6" t="s">
        <v>1143</v>
      </c>
      <c r="B19" s="6" t="s">
        <v>829</v>
      </c>
      <c r="J19" s="5" t="s">
        <v>1154</v>
      </c>
      <c r="L19" s="5" t="s">
        <v>147</v>
      </c>
      <c r="N19" s="352" t="s">
        <v>902</v>
      </c>
      <c r="O19" s="5" t="s">
        <v>903</v>
      </c>
      <c r="P19" s="62">
        <f>COUNTIF('(backend scoring)'!$B:$B,'Auto Responses'!$N19)</f>
      </c>
    </row>
    <row r="20" spans="1:20" ht="14" x14ac:dyDescent="0.2">
      <c r="A20" s="6" t="s">
        <v>1144</v>
      </c>
      <c r="B20" s="6" t="s">
        <v>828</v>
      </c>
      <c r="J20" s="5" t="s">
        <v>862</v>
      </c>
      <c r="L20" s="5" t="s">
        <v>8</v>
      </c>
      <c r="N20" s="352" t="s">
        <v>904</v>
      </c>
      <c r="O20" s="5" t="s">
        <v>1440</v>
      </c>
      <c r="P20" s="62">
        <f>COUNTIF('(backend scoring)'!$B:$B,'Auto Responses'!$N20)</f>
      </c>
    </row>
    <row r="21" spans="1:20" ht="14" x14ac:dyDescent="0.2">
      <c r="A21" s="6" t="s">
        <v>1145</v>
      </c>
      <c r="B21" s="6" t="s">
        <v>827</v>
      </c>
      <c r="J21" s="5" t="s">
        <v>863</v>
      </c>
      <c r="L21" s="5" t="s">
        <v>9</v>
      </c>
      <c r="N21" s="352" t="s">
        <v>905</v>
      </c>
      <c r="O21" s="5" t="s">
        <v>941</v>
      </c>
      <c r="P21" s="62">
        <f>COUNTIF('(backend scoring)'!$B:$B,'Auto Responses'!$N21)</f>
      </c>
    </row>
    <row r="22" spans="1:20" ht="14" x14ac:dyDescent="0.2">
      <c r="A22" s="6" t="s">
        <v>1146</v>
      </c>
      <c r="B22" s="6" t="s">
        <v>826</v>
      </c>
      <c r="J22" s="5" t="s">
        <v>864</v>
      </c>
      <c r="N22" s="352" t="s">
        <v>906</v>
      </c>
      <c r="O22" s="5" t="s">
        <v>1147</v>
      </c>
      <c r="P22" s="62">
        <f>COUNTIF('(backend scoring)'!$B:$B,'Auto Responses'!$N22)</f>
      </c>
    </row>
    <row r="23" spans="1:20" ht="14" x14ac:dyDescent="0.2">
      <c r="A23" s="6" t="s">
        <v>1148</v>
      </c>
      <c r="B23" s="6" t="s">
        <v>825</v>
      </c>
      <c r="J23" s="5" t="s">
        <v>1504</v>
      </c>
      <c r="N23" s="352" t="s">
        <v>907</v>
      </c>
      <c r="O23" s="5" t="s">
        <v>908</v>
      </c>
      <c r="P23" s="62">
        <f>COUNTIF('(backend scoring)'!$B:$B,'Auto Responses'!$N23)</f>
      </c>
    </row>
    <row r="24" spans="1:20" ht="14" x14ac:dyDescent="0.2">
      <c r="A24" s="6" t="s">
        <v>1405</v>
      </c>
      <c r="B24" s="6" t="s">
        <v>824</v>
      </c>
      <c r="N24" s="352" t="s">
        <v>909</v>
      </c>
      <c r="O24" s="5" t="s">
        <v>910</v>
      </c>
      <c r="P24" s="62">
        <f>COUNTIF('(backend scoring)'!$B:$B,'Auto Responses'!$N24)</f>
      </c>
    </row>
    <row r="25" spans="1:20" ht="14" x14ac:dyDescent="0.2">
      <c r="A25" s="6" t="s">
        <v>1406</v>
      </c>
      <c r="B25" s="6" t="s">
        <v>823</v>
      </c>
      <c r="N25" s="352" t="s">
        <v>911</v>
      </c>
      <c r="O25" s="5" t="s">
        <v>938</v>
      </c>
      <c r="P25" s="62">
        <f>COUNTIF('(backend scoring)'!$B:$B,'Auto Responses'!$N25)</f>
      </c>
    </row>
    <row r="26" spans="1:20" ht="14" x14ac:dyDescent="0.2">
      <c r="A26" s="6" t="s">
        <v>822</v>
      </c>
      <c r="B26" s="6" t="s">
        <v>821</v>
      </c>
      <c r="N26" s="352" t="s">
        <v>912</v>
      </c>
      <c r="O26" s="5" t="s">
        <v>913</v>
      </c>
      <c r="P26" s="62">
        <f>COUNTIF('(backend scoring)'!$B:$B,'Auto Responses'!$N26)</f>
      </c>
    </row>
    <row r="27" spans="1:20" ht="15.75" customHeight="1" x14ac:dyDescent="0.2">
      <c r="A27" s="5" t="s">
        <v>1402</v>
      </c>
      <c r="J27" s="5" t="s">
        <v>37</v>
      </c>
      <c r="N27" s="352" t="s">
        <v>914</v>
      </c>
      <c r="O27" s="5" t="s">
        <v>915</v>
      </c>
      <c r="P27" s="62">
        <f>COUNTIF('(backend scoring)'!$B:$B,'Auto Responses'!$N27)</f>
      </c>
    </row>
    <row r="28" spans="1:20" ht="15.75" customHeight="1" x14ac:dyDescent="0.2">
      <c r="A28" s="6" t="s">
        <v>1861</v>
      </c>
      <c r="J28" s="5" t="s">
        <v>22</v>
      </c>
      <c r="N28" s="352" t="s">
        <v>916</v>
      </c>
      <c r="O28" s="5" t="s">
        <v>917</v>
      </c>
      <c r="P28" s="62">
        <f>COUNTIF('(backend scoring)'!$B:$B,'Auto Responses'!$N28)</f>
      </c>
    </row>
    <row r="29" spans="1:20" ht="15.75" customHeight="1" x14ac:dyDescent="0.2">
      <c r="A29" s="6"/>
      <c r="N29" s="352" t="s">
        <v>918</v>
      </c>
      <c r="O29" s="5" t="s">
        <v>919</v>
      </c>
      <c r="P29" s="62">
        <f>COUNTIF('(backend scoring)'!$B:$B,'Auto Responses'!$N29)</f>
      </c>
    </row>
    <row r="30" spans="1:20" ht="15.75" customHeight="1" x14ac:dyDescent="0.2">
      <c r="A30" s="6"/>
      <c r="N30" s="352" t="s">
        <v>920</v>
      </c>
      <c r="O30" s="5" t="s">
        <v>921</v>
      </c>
      <c r="P30" s="62">
        <f>COUNTIF('(backend scoring)'!$B:$B,'Auto Responses'!$N30)</f>
      </c>
    </row>
    <row r="31" spans="1:20" ht="15.75" customHeight="1" x14ac:dyDescent="0.2">
      <c r="A31" s="6"/>
      <c r="N31" s="352" t="s">
        <v>1053</v>
      </c>
      <c r="O31" s="5" t="s">
        <v>922</v>
      </c>
      <c r="P31" s="62">
        <f>COUNTIF('(backend scoring)'!$B:$B,'Auto Responses'!$N31)</f>
      </c>
      <c r="T31" s="6"/>
    </row>
    <row r="32" spans="1:20" ht="15.75" customHeight="1" x14ac:dyDescent="0.2">
      <c r="A32" s="6" t="str">
        <f>LEFT($A$3,21)</f>
      </c>
      <c r="N32" s="352" t="s">
        <v>923</v>
      </c>
      <c r="O32" s="5" t="s">
        <v>924</v>
      </c>
      <c r="P32" s="62">
        <f>COUNTIF('(backend scoring)'!$B:$B,'Auto Responses'!$N32)</f>
      </c>
    </row>
    <row r="33" spans="1:16" ht="15.75" customHeight="1" x14ac:dyDescent="0.2">
      <c r="A33" s="5" t="s">
        <v>1543</v>
      </c>
      <c r="N33" s="352" t="s">
        <v>925</v>
      </c>
      <c r="O33" s="5" t="s">
        <v>926</v>
      </c>
      <c r="P33" s="62">
        <f>COUNTIF('(backend scoring)'!$B:$B,'Auto Responses'!$N33)</f>
      </c>
    </row>
    <row r="34" spans="1:16" ht="15.75" customHeight="1" x14ac:dyDescent="0.2">
      <c r="A34" s="6"/>
      <c r="N34" s="352" t="s">
        <v>927</v>
      </c>
      <c r="O34" s="5" t="s">
        <v>928</v>
      </c>
      <c r="P34" s="62">
        <f>COUNTIF('(backend scoring)'!$B:$B,'Auto Responses'!$N34)</f>
      </c>
    </row>
    <row r="35" spans="1:16" ht="15.75" customHeight="1" x14ac:dyDescent="0.2">
      <c r="A35" s="6"/>
      <c r="N35" s="352" t="s">
        <v>929</v>
      </c>
      <c r="O35" s="5" t="s">
        <v>930</v>
      </c>
      <c r="P35" s="62">
        <f>COUNTIF('(backend scoring)'!$B:$B,'Auto Responses'!$N35)</f>
      </c>
    </row>
    <row r="36" spans="1:16" ht="15.75" customHeight="1" x14ac:dyDescent="0.2">
      <c r="A36" s="6" t="s">
        <v>1911</v>
      </c>
      <c r="N36" s="352" t="s">
        <v>931</v>
      </c>
      <c r="O36" s="5" t="s">
        <v>932</v>
      </c>
      <c r="P36" s="62">
        <f>COUNTIF('(backend scoring)'!$B:$B,'Auto Responses'!$N36)</f>
      </c>
    </row>
    <row r="37" spans="1:16" ht="15.75" customHeight="1" x14ac:dyDescent="0.2">
      <c r="A37" s="6"/>
      <c r="N37" s="352" t="s">
        <v>933</v>
      </c>
      <c r="O37" s="5" t="s">
        <v>934</v>
      </c>
      <c r="P37" s="62">
        <f>COUNTIF('(backend scoring)'!$B:$B,'Auto Responses'!$N37)</f>
      </c>
    </row>
    <row r="38" spans="1:16" ht="15.75" customHeight="1" x14ac:dyDescent="0.2">
      <c r="A38" s="6"/>
      <c r="N38" s="352" t="s">
        <v>935</v>
      </c>
      <c r="O38" s="5" t="s">
        <v>936</v>
      </c>
      <c r="P38" s="62">
        <f>COUNTIF('(backend scoring)'!$B:$B,'Auto Responses'!$N38)</f>
      </c>
    </row>
    <row r="39" spans="1:16" ht="15.75" customHeight="1" x14ac:dyDescent="0.2">
      <c r="A39" s="239" t="s">
        <v>1449</v>
      </c>
    </row>
    <row r="40" spans="1:16" ht="15.75" hidden="1" customHeight="1" x14ac:dyDescent="0.2">
      <c r="A40" s="6"/>
    </row>
    <row r="41" spans="1:16" ht="15.75" hidden="1" customHeight="1" x14ac:dyDescent="0.2">
      <c r="A41" s="6"/>
    </row>
    <row r="42" spans="1:16" ht="15.75" hidden="1" customHeight="1" x14ac:dyDescent="0.2">
      <c r="A42" s="215"/>
    </row>
    <row r="43" spans="1:16" ht="15.75" hidden="1" customHeight="1" x14ac:dyDescent="0.2">
      <c r="A43" s="6"/>
    </row>
    <row r="44" spans="1:16" ht="15.75" hidden="1" customHeight="1" x14ac:dyDescent="0.2">
      <c r="A44" s="6"/>
    </row>
    <row r="45" spans="1:16" ht="15.75" hidden="1" customHeight="1" x14ac:dyDescent="0.2">
      <c r="A45" s="6"/>
    </row>
    <row r="51" spans="4:4" ht="15.75" hidden="1" customHeight="1" x14ac:dyDescent="0.2">
      <c r="D51" s="216"/>
    </row>
    <row r="52" spans="4:4" ht="15.75" hidden="1" customHeight="1" x14ac:dyDescent="0.2">
      <c r="D52" s="216"/>
    </row>
    <row r="53" spans="4:4" ht="15.75" hidden="1" customHeight="1" x14ac:dyDescent="0.2">
      <c r="D53" s="216"/>
    </row>
    <row r="54" spans="4:4" ht="15.75" hidden="1" customHeight="1" x14ac:dyDescent="0.2">
      <c r="D54" s="216"/>
    </row>
    <row r="55" spans="4:4" ht="15.75" hidden="1" customHeight="1" x14ac:dyDescent="0.2">
      <c r="D55" s="216"/>
    </row>
    <row r="56" spans="4:4" ht="15.75" hidden="1" customHeight="1" x14ac:dyDescent="0.2">
      <c r="D56" s="216"/>
    </row>
    <row r="57" spans="4:4" ht="15.75" hidden="1" customHeight="1" x14ac:dyDescent="0.2">
      <c r="D57" s="216"/>
    </row>
    <row r="58" spans="4:4" ht="15.75" hidden="1" customHeight="1" x14ac:dyDescent="0.2">
      <c r="D58" s="216"/>
    </row>
    <row r="59" spans="4:4" ht="15.75" hidden="1" customHeight="1" x14ac:dyDescent="0.2">
      <c r="D59" s="216"/>
    </row>
    <row r="60" spans="4:4" ht="15.75" hidden="1" customHeight="1" x14ac:dyDescent="0.2">
      <c r="D60" s="216"/>
    </row>
    <row r="61" spans="4:4" ht="15.75" hidden="1" customHeight="1" x14ac:dyDescent="0.2">
      <c r="D61" s="216"/>
    </row>
    <row r="62" spans="4:4" ht="15.75" hidden="1" customHeight="1" x14ac:dyDescent="0.2">
      <c r="D62" s="216"/>
    </row>
    <row r="63" spans="4:4" ht="15.75" hidden="1" customHeight="1" x14ac:dyDescent="0.2">
      <c r="D63" s="216"/>
    </row>
    <row r="64" spans="4:4" ht="15.75" hidden="1" customHeight="1" x14ac:dyDescent="0.2">
      <c r="D64" s="216"/>
    </row>
    <row r="65" spans="4:4" ht="15.75" hidden="1" customHeight="1" x14ac:dyDescent="0.2">
      <c r="D65" s="216"/>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baseColWidth="10" defaultColWidth="0" defaultRowHeight="16" zeroHeight="1" x14ac:dyDescent="0.2"/>
  <cols>
    <col min="1" max="1" width="8.75" style="2" customWidth="1"/>
    <col min="2" max="2" width="0" style="2" hidden="1" customWidth="1"/>
    <col min="3" max="3" width="35.625" style="2" customWidth="1"/>
    <col min="4" max="4" width="15.375" style="2" customWidth="1"/>
    <col min="5" max="6" width="12.625" style="2" customWidth="1"/>
    <col min="7" max="8" width="8.75" style="2" customWidth="1"/>
    <col min="9" max="10" width="10.875" style="2" customWidth="1"/>
    <col min="11" max="11" width="11.25" style="2" customWidth="1"/>
    <col min="12" max="12" width="12" style="106" customWidth="1"/>
    <col min="13" max="14" width="13" style="100" customWidth="1"/>
    <col min="15" max="16" width="8.75" style="100" customWidth="1"/>
    <col min="17" max="22" width="8.75" style="106" customWidth="1"/>
    <col min="23" max="23" width="8.75" style="100" customWidth="1"/>
    <col min="24" max="16384" width="8.75" style="100" hidden="1"/>
  </cols>
  <sheetData>
    <row r="1" spans="1:22" hidden="1" x14ac:dyDescent="0.2">
      <c r="A1" s="241" t="s">
        <v>1455</v>
      </c>
    </row>
    <row r="2" spans="1:22" ht="90" x14ac:dyDescent="0.2">
      <c r="A2" s="101" t="s">
        <v>0</v>
      </c>
      <c r="B2" s="107" t="s">
        <v>963</v>
      </c>
      <c r="C2" s="101" t="s">
        <v>1</v>
      </c>
      <c r="D2" s="101" t="s">
        <v>10</v>
      </c>
      <c r="E2" s="102" t="s">
        <v>11</v>
      </c>
      <c r="F2" s="103" t="s">
        <v>847</v>
      </c>
      <c r="G2" s="104" t="s">
        <v>869</v>
      </c>
      <c r="H2" s="104" t="s">
        <v>871</v>
      </c>
      <c r="I2" s="105" t="s">
        <v>19</v>
      </c>
      <c r="J2" s="104" t="s">
        <v>856</v>
      </c>
      <c r="K2" s="104" t="s">
        <v>961</v>
      </c>
      <c r="L2" s="104" t="s">
        <v>960</v>
      </c>
      <c r="M2" s="104" t="s">
        <v>962</v>
      </c>
      <c r="N2" s="104" t="s">
        <v>966</v>
      </c>
      <c r="O2" s="104" t="s">
        <v>958</v>
      </c>
      <c r="P2" s="104" t="s">
        <v>959</v>
      </c>
      <c r="Q2" s="158" t="s">
        <v>977</v>
      </c>
      <c r="R2" s="158" t="s">
        <v>978</v>
      </c>
      <c r="S2" s="158" t="s">
        <v>979</v>
      </c>
      <c r="T2" s="158" t="s">
        <v>980</v>
      </c>
      <c r="U2" s="158" t="s">
        <v>981</v>
      </c>
      <c r="V2" s="158" t="s">
        <v>982</v>
      </c>
    </row>
    <row r="3" spans="1:22" ht="60" x14ac:dyDescent="0.2">
      <c r="A3" s="4">
        <f>Questions!$A3</f>
      </c>
      <c r="B3" s="4">
        <f>LEFT(A3,4)</f>
      </c>
      <c r="C3" s="4">
        <f>VLOOKUP($A3,Questions!$A$3:$L$333,2,0)&amp;""</f>
      </c>
      <c r="D3" s="4">
        <f>VLOOKUP($A3,Questions!$A$3:$L$333,11,0)&amp;""</f>
      </c>
      <c r="E3" s="4">
        <f>VLOOKUP($A3,Questions!$A$3:$L$333,12,0)&amp;""</f>
      </c>
      <c r="F3" s="4">
        <f>VLOOKUP($A3,'Institution Evaluation'!$A$56:$K$345,3,0)&amp;""</f>
      </c>
      <c r="G3" s="4">
        <f>VLOOKUP($A3,'Institution Evaluation'!$A$56:$K$345,7,0)&amp;""</f>
      </c>
      <c r="H3" s="4">
        <f>VLOOKUP($A3,'Institution Evaluation'!$A$56:$K$345,8,0)&amp;""</f>
      </c>
      <c r="I3" s="4">
        <f>VLOOKUP($A3,'Institution Evaluation'!$A$56:$K$345,9,0)&amp;""</f>
      </c>
      <c r="J3" s="4">
        <f>VLOOKUP($A3,'Institution Evaluation'!$A$56:$K$345,10,0)&amp;""</f>
      </c>
      <c r="K3" s="4">
        <f>IF($I3='Auto Responses'!$J$11,20,IF($I3='Auto Responses'!$J$13,5,10))</f>
      </c>
      <c r="L3" s="106">
        <f>IF($E3='Auto Responses'!$L$13, 'Auto Responses'!$J$5,IF(AND($D3='Auto Responses'!$J$27,$H3=""),'Auto Responses'!$J$5,IF(AND($D3='Auto Responses'!$J$27,$H3='Auto Responses'!$J$7),1,IF(AND($D3='Auto Responses'!$J$27,$H3='Auto Responses'!$J$8),0,IF(OR(AND($F3=$G3,$H3=""),$H3='Auto Responses'!$J$7),1,0)))))</f>
      </c>
      <c r="M3" s="4">
        <f>VLOOKUP($A3,'Institution Evaluation'!$A$56:$K$345,11,0)&amp;""</f>
      </c>
      <c r="N3" s="4">
        <f>IF($J3='Auto Responses'!$J$11,1,IF(AND($J3="",$I3='Auto Responses'!$J$11),1,0))</f>
      </c>
      <c r="O3" s="106">
        <f>IF($E3='Auto Responses'!$L$13,'Auto Responses'!$J$5,IF($J3="",$K3,IF($J3='Auto Responses'!$J$13,5,IF($J3='Auto Responses'!$J$12,10,IF($J3='Auto Responses'!$J$11,20,0)))))</f>
      </c>
      <c r="P3" s="106">
        <f>IF(OR($O3='Auto Responses'!$J$5,$L3='Auto Responses'!$J$5),'Auto Responses'!$J$5,$O3*$L3)</f>
      </c>
      <c r="Q3" s="106">
        <f>IF(M3="TRUE",1,0)</f>
      </c>
      <c r="R3" s="106">
        <f>Q3</f>
      </c>
      <c r="S3" s="106">
        <f>IF(Q3=0,0,R3)</f>
      </c>
      <c r="T3" s="106">
        <f>IF(N3=1,1,0)</f>
      </c>
      <c r="U3" s="106">
        <f>T3</f>
      </c>
      <c r="V3" s="106">
        <f>IF(T3=0,0,U3)</f>
      </c>
    </row>
    <row r="4" spans="1:22" ht="60" x14ac:dyDescent="0.2">
      <c r="A4" s="4">
        <f>Questions!$A4</f>
      </c>
      <c r="B4" s="4">
        <f t="shared" ref="B4:B67" si="0">LEFT(A4,4)</f>
      </c>
      <c r="C4" s="4">
        <f>VLOOKUP($A4,Questions!$A$3:$L$333,2,0)&amp;""</f>
      </c>
      <c r="D4" s="4">
        <f>VLOOKUP($A4,Questions!$A$3:$L$333,11,0)&amp;""</f>
      </c>
      <c r="E4" s="4">
        <f>VLOOKUP($A4,Questions!$A$3:$L$333,12,0)&amp;""</f>
      </c>
      <c r="F4" s="4">
        <f>VLOOKUP($A4,'Institution Evaluation'!$A$56:$K$345,3,0)&amp;""</f>
      </c>
      <c r="G4" s="4">
        <f>VLOOKUP($A4,'Institution Evaluation'!$A$56:$K$345,7,0)&amp;""</f>
      </c>
      <c r="H4" s="4">
        <f>VLOOKUP($A4,'Institution Evaluation'!$A$56:$K$345,8,0)&amp;""</f>
      </c>
      <c r="I4" s="4">
        <f>VLOOKUP($A4,'Institution Evaluation'!$A$56:$K$345,9,0)&amp;""</f>
      </c>
      <c r="J4" s="4">
        <f>VLOOKUP($A4,'Institution Evaluation'!$A$56:$K$345,10,0)&amp;""</f>
      </c>
      <c r="K4" s="4">
        <f>IF($I4='Auto Responses'!$J$11,20,IF($I4='Auto Responses'!$J$13,5,10))</f>
      </c>
      <c r="L4" s="106">
        <f>IF($E4='Auto Responses'!$L$13, 'Auto Responses'!$J$5,IF(AND($D4='Auto Responses'!$J$27,$H4=""),'Auto Responses'!$J$5,IF(AND($D4='Auto Responses'!$J$27,$H4='Auto Responses'!$J$7),1,IF(AND($D4='Auto Responses'!$J$27,$H4='Auto Responses'!$J$8),0,IF(OR(AND($F4=$G4,$H4=""),$H4='Auto Responses'!$J$7),1,0)))))</f>
      </c>
      <c r="M4" s="4">
        <f>VLOOKUP($A4,'Institution Evaluation'!$A$56:$K$345,11,0)&amp;""</f>
      </c>
      <c r="N4" s="4">
        <f>IF($J4='Auto Responses'!$J$11,1,IF(AND($J4="",$I4='Auto Responses'!$J$11),1,0))</f>
      </c>
      <c r="O4" s="106">
        <f>IF($E4='Auto Responses'!$L$13,'Auto Responses'!$J$5,IF($J4="",$K4,IF($J4='Auto Responses'!$J$13,5,IF($J4='Auto Responses'!$J$12,10,IF($J4='Auto Responses'!$J$11,20,0)))))</f>
      </c>
      <c r="P4" s="106">
        <f>IF(OR($O4='Auto Responses'!$J$5,$L4='Auto Responses'!$J$5),'Auto Responses'!$J$5,$O4*$L4)</f>
      </c>
      <c r="Q4" s="106">
        <f t="shared" ref="Q4:Q66" si="1">IF(M4="TRUE",1,0)</f>
      </c>
      <c r="R4" s="106">
        <f>R3+Q4</f>
      </c>
      <c r="S4" s="106">
        <f t="shared" ref="S4:S66" si="2">IF(Q4=0,0,R4)</f>
      </c>
      <c r="T4" s="106">
        <f t="shared" ref="T4:T66" si="3">IF(N4=1,1,0)</f>
      </c>
      <c r="U4" s="106">
        <f>U3+T4</f>
      </c>
      <c r="V4" s="106">
        <f t="shared" ref="V4:V66" si="4">IF(T4=0,0,U4)</f>
      </c>
    </row>
    <row r="5" spans="1:22" ht="409.6" x14ac:dyDescent="0.2">
      <c r="A5" s="4">
        <f>Questions!$A5</f>
      </c>
      <c r="B5" s="4">
        <f t="shared" si="0"/>
      </c>
      <c r="C5" s="4">
        <f>VLOOKUP($A5,Questions!$A$3:$L$333,2,0)&amp;""</f>
      </c>
      <c r="D5" s="4">
        <f>VLOOKUP($A5,Questions!$A$3:$L$333,11,0)&amp;""</f>
      </c>
      <c r="E5" s="4">
        <f>VLOOKUP($A5,Questions!$A$3:$L$333,12,0)&amp;""</f>
      </c>
      <c r="F5" s="4">
        <f>VLOOKUP($A5,'Institution Evaluation'!$A$56:$K$345,3,0)&amp;""</f>
      </c>
      <c r="G5" s="4">
        <f>VLOOKUP($A5,'Institution Evaluation'!$A$56:$K$345,7,0)&amp;""</f>
      </c>
      <c r="H5" s="4">
        <f>VLOOKUP($A5,'Institution Evaluation'!$A$56:$K$345,8,0)&amp;""</f>
      </c>
      <c r="I5" s="4">
        <f>VLOOKUP($A5,'Institution Evaluation'!$A$56:$K$345,9,0)&amp;""</f>
      </c>
      <c r="J5" s="4">
        <f>VLOOKUP($A5,'Institution Evaluation'!$A$56:$K$345,10,0)&amp;""</f>
      </c>
      <c r="K5" s="4">
        <f>IF($I5='Auto Responses'!$J$11,20,IF($I5='Auto Responses'!$J$13,5,10))</f>
      </c>
      <c r="L5" s="106">
        <f>IF($E5='Auto Responses'!$L$13, 'Auto Responses'!$J$5,IF(AND($D5='Auto Responses'!$J$27,$H5=""),'Auto Responses'!$J$5,IF(AND($D5='Auto Responses'!$J$27,$H5='Auto Responses'!$J$7),1,IF(AND($D5='Auto Responses'!$J$27,$H5='Auto Responses'!$J$8),0,IF(OR(AND($F5=$G5,$H5=""),$H5='Auto Responses'!$J$7),1,0)))))</f>
      </c>
      <c r="M5" s="4">
        <f>VLOOKUP($A5,'Institution Evaluation'!$A$56:$K$345,11,0)&amp;""</f>
      </c>
      <c r="N5" s="4">
        <f>IF($J5='Auto Responses'!$J$11,1,IF(AND($J5="",$I5='Auto Responses'!$J$11),1,0))</f>
      </c>
      <c r="O5" s="106">
        <f>IF($E5='Auto Responses'!$L$13,'Auto Responses'!$J$5,IF($J5="",$K5,IF($J5='Auto Responses'!$J$13,5,IF($J5='Auto Responses'!$J$12,10,IF($J5='Auto Responses'!$J$11,20,0)))))</f>
      </c>
      <c r="P5" s="106">
        <f>IF(OR($O5='Auto Responses'!$J$5,$L5='Auto Responses'!$J$5),'Auto Responses'!$J$5,$O5*$L5)</f>
      </c>
      <c r="Q5" s="106">
        <f t="shared" si="1"/>
      </c>
      <c r="R5" s="106">
        <f t="shared" ref="R5:R68" si="5">R4+Q5</f>
      </c>
      <c r="S5" s="106">
        <f t="shared" si="2"/>
      </c>
      <c r="T5" s="106">
        <f t="shared" si="3"/>
      </c>
      <c r="U5" s="106">
        <f t="shared" ref="U5:U68" si="6">U4+T5</f>
      </c>
      <c r="V5" s="106">
        <f t="shared" si="4"/>
      </c>
    </row>
    <row r="6" spans="1:22" ht="60" x14ac:dyDescent="0.2">
      <c r="A6" s="4">
        <f>Questions!$A6</f>
      </c>
      <c r="B6" s="4">
        <f t="shared" si="0"/>
      </c>
      <c r="C6" s="4">
        <f>VLOOKUP($A6,Questions!$A$3:$L$333,2,0)&amp;""</f>
      </c>
      <c r="D6" s="4">
        <f>VLOOKUP($A6,Questions!$A$3:$L$333,11,0)&amp;""</f>
      </c>
      <c r="E6" s="4">
        <f>VLOOKUP($A6,Questions!$A$3:$L$333,12,0)&amp;""</f>
      </c>
      <c r="F6" s="4">
        <f>VLOOKUP($A6,'Institution Evaluation'!$A$56:$K$345,3,0)&amp;""</f>
      </c>
      <c r="G6" s="4">
        <f>VLOOKUP($A6,'Institution Evaluation'!$A$56:$K$345,7,0)&amp;""</f>
      </c>
      <c r="H6" s="4">
        <f>VLOOKUP($A6,'Institution Evaluation'!$A$56:$K$345,8,0)&amp;""</f>
      </c>
      <c r="I6" s="4">
        <f>VLOOKUP($A6,'Institution Evaluation'!$A$56:$K$345,9,0)&amp;""</f>
      </c>
      <c r="J6" s="4">
        <f>VLOOKUP($A6,'Institution Evaluation'!$A$56:$K$345,10,0)&amp;""</f>
      </c>
      <c r="K6" s="4">
        <f>IF($I6='Auto Responses'!$J$11,20,IF($I6='Auto Responses'!$J$13,5,10))</f>
      </c>
      <c r="L6" s="106">
        <f>IF($E6='Auto Responses'!$L$13, 'Auto Responses'!$J$5,IF(AND($D6='Auto Responses'!$J$27,$H6=""),'Auto Responses'!$J$5,IF(AND($D6='Auto Responses'!$J$27,$H6='Auto Responses'!$J$7),1,IF(AND($D6='Auto Responses'!$J$27,$H6='Auto Responses'!$J$8),0,IF(OR(AND($F6=$G6,$H6=""),$H6='Auto Responses'!$J$7),1,0)))))</f>
      </c>
      <c r="M6" s="4">
        <f>VLOOKUP($A6,'Institution Evaluation'!$A$56:$K$345,11,0)&amp;""</f>
      </c>
      <c r="N6" s="4">
        <f>IF($J6='Auto Responses'!$J$11,1,IF(AND($J6="",$I6='Auto Responses'!$J$11),1,0))</f>
      </c>
      <c r="O6" s="106">
        <f>IF($E6='Auto Responses'!$L$13,'Auto Responses'!$J$5,IF($J6="",$K6,IF($J6='Auto Responses'!$J$13,5,IF($J6='Auto Responses'!$J$12,10,IF($J6='Auto Responses'!$J$11,20,0)))))</f>
      </c>
      <c r="P6" s="106">
        <f>IF(OR($O6='Auto Responses'!$J$5,$L6='Auto Responses'!$J$5),'Auto Responses'!$J$5,$O6*$L6)</f>
      </c>
      <c r="Q6" s="106">
        <f t="shared" si="1"/>
      </c>
      <c r="R6" s="106">
        <f t="shared" si="5"/>
      </c>
      <c r="S6" s="106">
        <f t="shared" si="2"/>
      </c>
      <c r="T6" s="106">
        <f t="shared" si="3"/>
      </c>
      <c r="U6" s="106">
        <f t="shared" si="6"/>
      </c>
      <c r="V6" s="106">
        <f t="shared" si="4"/>
      </c>
    </row>
    <row r="7" spans="1:22" ht="60" x14ac:dyDescent="0.2">
      <c r="A7" s="4">
        <f>Questions!$A7</f>
      </c>
      <c r="B7" s="4">
        <f t="shared" si="0"/>
      </c>
      <c r="C7" s="4">
        <f>VLOOKUP($A7,Questions!$A$3:$L$333,2,0)&amp;""</f>
      </c>
      <c r="D7" s="4">
        <f>VLOOKUP($A7,Questions!$A$3:$L$333,11,0)&amp;""</f>
      </c>
      <c r="E7" s="4">
        <f>VLOOKUP($A7,Questions!$A$3:$L$333,12,0)&amp;""</f>
      </c>
      <c r="F7" s="4">
        <f>VLOOKUP($A7,'Institution Evaluation'!$A$56:$K$345,3,0)&amp;""</f>
      </c>
      <c r="G7" s="4">
        <f>VLOOKUP($A7,'Institution Evaluation'!$A$56:$K$345,7,0)&amp;""</f>
      </c>
      <c r="H7" s="4">
        <f>VLOOKUP($A7,'Institution Evaluation'!$A$56:$K$345,8,0)&amp;""</f>
      </c>
      <c r="I7" s="4">
        <f>VLOOKUP($A7,'Institution Evaluation'!$A$56:$K$345,9,0)&amp;""</f>
      </c>
      <c r="J7" s="4">
        <f>VLOOKUP($A7,'Institution Evaluation'!$A$56:$K$345,10,0)&amp;""</f>
      </c>
      <c r="K7" s="4">
        <f>IF($I7='Auto Responses'!$J$11,20,IF($I7='Auto Responses'!$J$13,5,10))</f>
      </c>
      <c r="L7" s="106">
        <f>IF($E7='Auto Responses'!$L$13, 'Auto Responses'!$J$5,IF(AND($D7='Auto Responses'!$J$27,$H7=""),'Auto Responses'!$J$5,IF(AND($D7='Auto Responses'!$J$27,$H7='Auto Responses'!$J$7),1,IF(AND($D7='Auto Responses'!$J$27,$H7='Auto Responses'!$J$8),0,IF(OR(AND($F7=$G7,$H7=""),$H7='Auto Responses'!$J$7),1,0)))))</f>
      </c>
      <c r="M7" s="4">
        <f>VLOOKUP($A7,'Institution Evaluation'!$A$56:$K$345,11,0)&amp;""</f>
      </c>
      <c r="N7" s="4">
        <f>IF($J7='Auto Responses'!$J$11,1,IF(AND($J7="",$I7='Auto Responses'!$J$11),1,0))</f>
      </c>
      <c r="O7" s="106">
        <f>IF($E7='Auto Responses'!$L$13,'Auto Responses'!$J$5,IF($J7="",$K7,IF($J7='Auto Responses'!$J$13,5,IF($J7='Auto Responses'!$J$12,10,IF($J7='Auto Responses'!$J$11,20,0)))))</f>
      </c>
      <c r="P7" s="106">
        <f>IF(OR($O7='Auto Responses'!$J$5,$L7='Auto Responses'!$J$5),'Auto Responses'!$J$5,$O7*$L7)</f>
      </c>
      <c r="Q7" s="106">
        <f t="shared" si="1"/>
      </c>
      <c r="R7" s="106">
        <f t="shared" si="5"/>
      </c>
      <c r="S7" s="106">
        <f t="shared" si="2"/>
      </c>
      <c r="T7" s="106">
        <f t="shared" si="3"/>
      </c>
      <c r="U7" s="106">
        <f t="shared" si="6"/>
      </c>
      <c r="V7" s="106">
        <f t="shared" si="4"/>
      </c>
    </row>
    <row r="8" spans="1:22" ht="60" x14ac:dyDescent="0.2">
      <c r="A8" s="4">
        <f>Questions!$A8</f>
      </c>
      <c r="B8" s="4">
        <f t="shared" si="0"/>
      </c>
      <c r="C8" s="4">
        <f>VLOOKUP($A8,Questions!$A$3:$L$333,2,0)&amp;""</f>
      </c>
      <c r="D8" s="4">
        <f>VLOOKUP($A8,Questions!$A$3:$L$333,11,0)&amp;""</f>
      </c>
      <c r="E8" s="4">
        <f>VLOOKUP($A8,Questions!$A$3:$L$333,12,0)&amp;""</f>
      </c>
      <c r="F8" s="4">
        <f>VLOOKUP($A8,'Institution Evaluation'!$A$56:$K$345,3,0)&amp;""</f>
      </c>
      <c r="G8" s="4">
        <f>VLOOKUP($A8,'Institution Evaluation'!$A$56:$K$345,7,0)&amp;""</f>
      </c>
      <c r="H8" s="4">
        <f>VLOOKUP($A8,'Institution Evaluation'!$A$56:$K$345,8,0)&amp;""</f>
      </c>
      <c r="I8" s="4">
        <f>VLOOKUP($A8,'Institution Evaluation'!$A$56:$K$345,9,0)&amp;""</f>
      </c>
      <c r="J8" s="4">
        <f>VLOOKUP($A8,'Institution Evaluation'!$A$56:$K$345,10,0)&amp;""</f>
      </c>
      <c r="K8" s="4">
        <f>IF($I8='Auto Responses'!$J$11,20,IF($I8='Auto Responses'!$J$13,5,10))</f>
      </c>
      <c r="L8" s="106">
        <f>IF($E8='Auto Responses'!$L$13, 'Auto Responses'!$J$5,IF(AND($D8='Auto Responses'!$J$27,$H8=""),'Auto Responses'!$J$5,IF(AND($D8='Auto Responses'!$J$27,$H8='Auto Responses'!$J$7),1,IF(AND($D8='Auto Responses'!$J$27,$H8='Auto Responses'!$J$8),0,IF(OR(AND($F8=$G8,$H8=""),$H8='Auto Responses'!$J$7),1,0)))))</f>
      </c>
      <c r="M8" s="4">
        <f>VLOOKUP($A8,'Institution Evaluation'!$A$56:$K$345,11,0)&amp;""</f>
      </c>
      <c r="N8" s="4">
        <f>IF($J8='Auto Responses'!$J$11,1,IF(AND($J8="",$I8='Auto Responses'!$J$11),1,0))</f>
      </c>
      <c r="O8" s="106">
        <f>IF($E8='Auto Responses'!$L$13,'Auto Responses'!$J$5,IF($J8="",$K8,IF($J8='Auto Responses'!$J$13,5,IF($J8='Auto Responses'!$J$12,10,IF($J8='Auto Responses'!$J$11,20,0)))))</f>
      </c>
      <c r="P8" s="106">
        <f>IF(OR($O8='Auto Responses'!$J$5,$L8='Auto Responses'!$J$5),'Auto Responses'!$J$5,$O8*$L8)</f>
      </c>
      <c r="Q8" s="106">
        <f t="shared" si="1"/>
      </c>
      <c r="R8" s="106">
        <f t="shared" si="5"/>
      </c>
      <c r="S8" s="106">
        <f t="shared" si="2"/>
      </c>
      <c r="T8" s="106">
        <f t="shared" si="3"/>
      </c>
      <c r="U8" s="106">
        <f t="shared" si="6"/>
      </c>
      <c r="V8" s="106">
        <f t="shared" si="4"/>
      </c>
    </row>
    <row r="9" spans="1:22" ht="60" x14ac:dyDescent="0.2">
      <c r="A9" s="4">
        <f>Questions!$A9</f>
      </c>
      <c r="B9" s="4">
        <f t="shared" si="0"/>
      </c>
      <c r="C9" s="4">
        <f>VLOOKUP($A9,Questions!$A$3:$L$333,2,0)&amp;""</f>
      </c>
      <c r="D9" s="4">
        <f>VLOOKUP($A9,Questions!$A$3:$L$333,11,0)&amp;""</f>
      </c>
      <c r="E9" s="4">
        <f>VLOOKUP($A9,Questions!$A$3:$L$333,12,0)&amp;""</f>
      </c>
      <c r="F9" s="4">
        <f>VLOOKUP($A9,'Institution Evaluation'!$A$56:$K$345,3,0)&amp;""</f>
      </c>
      <c r="G9" s="4">
        <f>VLOOKUP($A9,'Institution Evaluation'!$A$56:$K$345,7,0)&amp;""</f>
      </c>
      <c r="H9" s="4">
        <f>VLOOKUP($A9,'Institution Evaluation'!$A$56:$K$345,8,0)&amp;""</f>
      </c>
      <c r="I9" s="4">
        <f>VLOOKUP($A9,'Institution Evaluation'!$A$56:$K$345,9,0)&amp;""</f>
      </c>
      <c r="J9" s="4">
        <f>VLOOKUP($A9,'Institution Evaluation'!$A$56:$K$345,10,0)&amp;""</f>
      </c>
      <c r="K9" s="4">
        <f>IF($I9='Auto Responses'!$J$11,20,IF($I9='Auto Responses'!$J$13,5,10))</f>
      </c>
      <c r="L9" s="106">
        <f>IF($E9='Auto Responses'!$L$13, 'Auto Responses'!$J$5,IF(AND($D9='Auto Responses'!$J$27,$H9=""),'Auto Responses'!$J$5,IF(AND($D9='Auto Responses'!$J$27,$H9='Auto Responses'!$J$7),1,IF(AND($D9='Auto Responses'!$J$27,$H9='Auto Responses'!$J$8),0,IF(OR(AND($F9=$G9,$H9=""),$H9='Auto Responses'!$J$7),1,0)))))</f>
      </c>
      <c r="M9" s="4">
        <f>VLOOKUP($A9,'Institution Evaluation'!$A$56:$K$345,11,0)&amp;""</f>
      </c>
      <c r="N9" s="4">
        <f>IF($J9='Auto Responses'!$J$11,1,IF(AND($J9="",$I9='Auto Responses'!$J$11),1,0))</f>
      </c>
      <c r="O9" s="106">
        <f>IF($E9='Auto Responses'!$L$13,'Auto Responses'!$J$5,IF($J9="",$K9,IF($J9='Auto Responses'!$J$13,5,IF($J9='Auto Responses'!$J$12,10,IF($J9='Auto Responses'!$J$11,20,0)))))</f>
      </c>
      <c r="P9" s="106">
        <f>IF(OR($O9='Auto Responses'!$J$5,$L9='Auto Responses'!$J$5),'Auto Responses'!$J$5,$O9*$L9)</f>
      </c>
      <c r="Q9" s="106">
        <f t="shared" si="1"/>
      </c>
      <c r="R9" s="106">
        <f t="shared" si="5"/>
      </c>
      <c r="S9" s="106">
        <f t="shared" si="2"/>
      </c>
      <c r="T9" s="106">
        <f t="shared" si="3"/>
      </c>
      <c r="U9" s="106">
        <f t="shared" si="6"/>
      </c>
      <c r="V9" s="106">
        <f t="shared" si="4"/>
      </c>
    </row>
    <row r="10" spans="1:22" ht="60" x14ac:dyDescent="0.2">
      <c r="A10" s="4">
        <f>Questions!$A10</f>
      </c>
      <c r="B10" s="4">
        <f t="shared" si="0"/>
      </c>
      <c r="C10" s="4">
        <f>VLOOKUP($A10,Questions!$A$3:$L$333,2,0)&amp;""</f>
      </c>
      <c r="D10" s="4">
        <f>VLOOKUP($A10,Questions!$A$3:$L$333,11,0)&amp;""</f>
      </c>
      <c r="E10" s="4">
        <f>VLOOKUP($A10,Questions!$A$3:$L$333,12,0)&amp;""</f>
      </c>
      <c r="F10" s="4">
        <f>VLOOKUP($A10,'Institution Evaluation'!$A$56:$K$345,3,0)&amp;""</f>
      </c>
      <c r="G10" s="4">
        <f>VLOOKUP($A10,'Institution Evaluation'!$A$56:$K$345,7,0)&amp;""</f>
      </c>
      <c r="H10" s="4">
        <f>VLOOKUP($A10,'Institution Evaluation'!$A$56:$K$345,8,0)&amp;""</f>
      </c>
      <c r="I10" s="4">
        <f>VLOOKUP($A10,'Institution Evaluation'!$A$56:$K$345,9,0)&amp;""</f>
      </c>
      <c r="J10" s="4">
        <f>VLOOKUP($A10,'Institution Evaluation'!$A$56:$K$345,10,0)&amp;""</f>
      </c>
      <c r="K10" s="4">
        <f>IF($I10='Auto Responses'!$J$11,20,IF($I10='Auto Responses'!$J$13,5,10))</f>
      </c>
      <c r="L10" s="106">
        <f>IF($E10='Auto Responses'!$L$13, 'Auto Responses'!$J$5,IF(AND($D10='Auto Responses'!$J$27,$H10=""),'Auto Responses'!$J$5,IF(AND($D10='Auto Responses'!$J$27,$H10='Auto Responses'!$J$7),1,IF(AND($D10='Auto Responses'!$J$27,$H10='Auto Responses'!$J$8),0,IF(OR(AND($F10=$G10,$H10=""),$H10='Auto Responses'!$J$7),1,0)))))</f>
      </c>
      <c r="M10" s="4">
        <f>VLOOKUP($A10,'Institution Evaluation'!$A$56:$K$345,11,0)&amp;""</f>
      </c>
      <c r="N10" s="4">
        <f>IF($J10='Auto Responses'!$J$11,1,IF(AND($J10="",$I10='Auto Responses'!$J$11),1,0))</f>
      </c>
      <c r="O10" s="106">
        <f>IF($E10='Auto Responses'!$L$13,'Auto Responses'!$J$5,IF($J10="",$K10,IF($J10='Auto Responses'!$J$13,5,IF($J10='Auto Responses'!$J$12,10,IF($J10='Auto Responses'!$J$11,20,0)))))</f>
      </c>
      <c r="P10" s="106">
        <f>IF(OR($O10='Auto Responses'!$J$5,$L10='Auto Responses'!$J$5),'Auto Responses'!$J$5,$O10*$L10)</f>
      </c>
      <c r="Q10" s="106">
        <f t="shared" si="1"/>
      </c>
      <c r="R10" s="106">
        <f t="shared" si="5"/>
      </c>
      <c r="S10" s="106">
        <f t="shared" si="2"/>
      </c>
      <c r="T10" s="106">
        <f t="shared" si="3"/>
      </c>
      <c r="U10" s="106">
        <f t="shared" si="6"/>
      </c>
      <c r="V10" s="106">
        <f t="shared" si="4"/>
      </c>
    </row>
    <row r="11" spans="1:22" ht="60" x14ac:dyDescent="0.2">
      <c r="A11" s="4">
        <f>Questions!$A11</f>
      </c>
      <c r="B11" s="4">
        <f t="shared" si="0"/>
      </c>
      <c r="C11" s="4">
        <f>VLOOKUP($A11,Questions!$A$3:$L$333,2,0)&amp;""</f>
      </c>
      <c r="D11" s="4" t="s">
        <v>22</v>
      </c>
      <c r="E11" s="4">
        <f>VLOOKUP($A11,Questions!$A$3:$L$333,12,0)&amp;""</f>
      </c>
      <c r="F11" s="4">
        <f>VLOOKUP($A11,'Institution Evaluation'!$A$56:$K$345,3,0)&amp;""</f>
      </c>
      <c r="G11" s="4">
        <f>VLOOKUP($A11,'Institution Evaluation'!$A$56:$K$345,7,0)&amp;""</f>
      </c>
      <c r="H11" s="4">
        <f>VLOOKUP($A11,'Institution Evaluation'!$A$56:$K$345,8,0)&amp;""</f>
      </c>
      <c r="I11" s="4">
        <f>VLOOKUP($A11,'Institution Evaluation'!$A$56:$K$345,9,0)&amp;""</f>
      </c>
      <c r="J11" s="4">
        <f>VLOOKUP($A11,'Institution Evaluation'!$A$56:$K$345,10,0)&amp;""</f>
      </c>
      <c r="K11" s="4">
        <f>IF($I11='Auto Responses'!$J$11,20,IF($I11='Auto Responses'!$J$13,5,10))</f>
      </c>
      <c r="L11" s="106">
        <f>IF($E11='Auto Responses'!$L$13, 'Auto Responses'!$J$5,IF(AND($D11='Auto Responses'!$J$27,$H11=""),'Auto Responses'!$J$5,IF(AND($D11='Auto Responses'!$J$27,$H11='Auto Responses'!$J$7),1,IF(AND($D11='Auto Responses'!$J$27,$H11='Auto Responses'!$J$8),0,IF(OR(AND($F11=$G11,$H11=""),$H11='Auto Responses'!$J$7),1,0)))))</f>
      </c>
      <c r="M11" s="4">
        <f>VLOOKUP($A11,'Institution Evaluation'!$A$56:$K$345,11,0)&amp;""</f>
      </c>
      <c r="N11" s="4">
        <f>IF($J11='Auto Responses'!$J$11,1,IF(AND($J11="",$I11='Auto Responses'!$J$11),1,0))</f>
      </c>
      <c r="O11" s="106">
        <f>IF($E11='Auto Responses'!$L$13,'Auto Responses'!$J$5,IF($J11="",$K11,IF($J11='Auto Responses'!$J$13,5,IF($J11='Auto Responses'!$J$12,10,IF($J11='Auto Responses'!$J$11,20,0)))))</f>
      </c>
      <c r="P11" s="106">
        <f>IF(OR($O11='Auto Responses'!$J$5,$L11='Auto Responses'!$J$5),'Auto Responses'!$J$5,$O11*$L11)</f>
      </c>
      <c r="Q11" s="106">
        <f t="shared" si="1"/>
      </c>
      <c r="R11" s="106">
        <f t="shared" si="5"/>
      </c>
      <c r="S11" s="106">
        <f t="shared" si="2"/>
      </c>
      <c r="T11" s="106">
        <f t="shared" si="3"/>
      </c>
      <c r="U11" s="106">
        <f t="shared" si="6"/>
      </c>
      <c r="V11" s="106">
        <f t="shared" si="4"/>
      </c>
    </row>
    <row r="12" spans="1:22" ht="60" x14ac:dyDescent="0.2">
      <c r="A12" s="4">
        <f>Questions!$A12</f>
      </c>
      <c r="B12" s="4">
        <f t="shared" si="0"/>
      </c>
      <c r="C12" s="4">
        <f>VLOOKUP($A12,Questions!$A$3:$L$333,2,0)&amp;""</f>
      </c>
      <c r="D12" s="4">
        <f>VLOOKUP($A12,Questions!$A$3:$L$333,11,0)&amp;""</f>
      </c>
      <c r="E12" s="4">
        <f>VLOOKUP($A12,Questions!$A$3:$L$333,12,0)&amp;""</f>
      </c>
      <c r="F12" s="4">
        <f>VLOOKUP($A12,'Institution Evaluation'!$A$56:$K$345,3,0)&amp;""</f>
      </c>
      <c r="G12" s="4">
        <f>VLOOKUP($A12,'Institution Evaluation'!$A$56:$K$345,7,0)&amp;""</f>
      </c>
      <c r="H12" s="4">
        <f>VLOOKUP($A12,'Institution Evaluation'!$A$56:$K$345,8,0)&amp;""</f>
      </c>
      <c r="I12" s="4">
        <f>VLOOKUP($A12,'Institution Evaluation'!$A$56:$K$345,9,0)&amp;""</f>
      </c>
      <c r="J12" s="4">
        <f>VLOOKUP($A12,'Institution Evaluation'!$A$56:$K$345,10,0)&amp;""</f>
      </c>
      <c r="K12" s="4">
        <f>IF($I12='Auto Responses'!$J$11,20,IF($I12='Auto Responses'!$J$13,5,10))</f>
      </c>
      <c r="L12" s="106">
        <f>IF($E12='Auto Responses'!$L$13, 'Auto Responses'!$J$5,IF(AND($D12='Auto Responses'!$J$27,$H12=""),'Auto Responses'!$J$5,IF(AND($D12='Auto Responses'!$J$27,$H12='Auto Responses'!$J$7),1,IF(AND($D12='Auto Responses'!$J$27,$H12='Auto Responses'!$J$8),0,IF(OR(AND($F12=$G12,$H12=""),$H12='Auto Responses'!$J$7),1,0)))))</f>
      </c>
      <c r="M12" s="4">
        <f>VLOOKUP($A12,'Institution Evaluation'!$A$56:$K$345,11,0)&amp;""</f>
      </c>
      <c r="N12" s="4">
        <f>IF($J12='Auto Responses'!$J$11,1,IF(AND($J12="",$I12='Auto Responses'!$J$11),1,0))</f>
      </c>
      <c r="O12" s="106">
        <f>IF(OR($E12='Auto Responses'!$L$13,$F12='Auto Responses'!$J$5),'Auto Responses'!$J$5,IF($J12="",$K12,IF($J12='Auto Responses'!$J$13,5,IF($J12='Auto Responses'!$J$12,10,IF($J12='Auto Responses'!$J$11,20,0)))))</f>
      </c>
      <c r="P12" s="106">
        <f>IF(OR($O12='Auto Responses'!$J$5,$L12='Auto Responses'!$J$5),'Auto Responses'!$J$5,$O12*$L12)</f>
      </c>
      <c r="Q12" s="106">
        <f t="shared" si="1"/>
      </c>
      <c r="R12" s="106">
        <f t="shared" si="5"/>
      </c>
      <c r="S12" s="106">
        <f t="shared" si="2"/>
      </c>
      <c r="T12" s="106">
        <f t="shared" si="3"/>
      </c>
      <c r="U12" s="106">
        <f t="shared" si="6"/>
      </c>
      <c r="V12" s="106">
        <f t="shared" si="4"/>
      </c>
    </row>
    <row r="13" spans="1:22" ht="165" x14ac:dyDescent="0.2">
      <c r="A13" s="4">
        <f>Questions!$A13</f>
      </c>
      <c r="B13" s="4">
        <f t="shared" si="0"/>
      </c>
      <c r="C13" s="4">
        <f>VLOOKUP($A13,Questions!$A$3:$L$333,2,0)&amp;""</f>
      </c>
      <c r="D13" s="4">
        <f>VLOOKUP($A13,Questions!$A$3:$L$333,11,0)&amp;""</f>
      </c>
      <c r="E13" s="4">
        <f>VLOOKUP($A13,Questions!$A$3:$L$333,12,0)&amp;""</f>
      </c>
      <c r="F13" s="4">
        <f>VLOOKUP($A13,'Institution Evaluation'!$A$56:$K$345,3,0)&amp;""</f>
      </c>
      <c r="G13" s="4">
        <f>VLOOKUP($A13,'Institution Evaluation'!$A$56:$K$345,7,0)&amp;""</f>
      </c>
      <c r="H13" s="4">
        <f>VLOOKUP($A13,'Institution Evaluation'!$A$56:$K$345,8,0)&amp;""</f>
      </c>
      <c r="I13" s="4">
        <f>VLOOKUP($A13,'Institution Evaluation'!$A$56:$K$345,9,0)&amp;""</f>
      </c>
      <c r="J13" s="4">
        <f>VLOOKUP($A13,'Institution Evaluation'!$A$56:$K$345,10,0)&amp;""</f>
      </c>
      <c r="K13" s="4">
        <f>IF($I13='Auto Responses'!$J$11,20,IF($I13='Auto Responses'!$J$13,5,10))</f>
      </c>
      <c r="L13" s="106">
        <f>IF($E13='Auto Responses'!$L$13, 'Auto Responses'!$J$5,IF(AND($D13='Auto Responses'!$J$27,$H13=""),'Auto Responses'!$J$5,IF(AND($D13='Auto Responses'!$J$27,$H13='Auto Responses'!$J$7),1,IF(AND($D13='Auto Responses'!$J$27,$H13='Auto Responses'!$J$8),0,IF(OR(AND($F13=$G13,$H13=""),$H13='Auto Responses'!$J$7),1,0)))))</f>
      </c>
      <c r="M13" s="4">
        <f>VLOOKUP($A13,'Institution Evaluation'!$A$56:$K$345,11,0)&amp;""</f>
      </c>
      <c r="N13" s="4">
        <f>IF($J13='Auto Responses'!$J$11,1,IF(AND($J13="",$I13='Auto Responses'!$J$11),1,0))</f>
      </c>
      <c r="O13" s="106">
        <f>IF(OR($E13='Auto Responses'!$L$13,$F13='Auto Responses'!$J$5),'Auto Responses'!$J$5,IF($J13="",$K13,IF($J13='Auto Responses'!$J$13,5,IF($J13='Auto Responses'!$J$12,10,IF($J13='Auto Responses'!$J$11,20,0)))))</f>
      </c>
      <c r="P13" s="106">
        <f>IF(OR($O13='Auto Responses'!$J$5,$L13='Auto Responses'!$J$5),'Auto Responses'!$J$5,$O13*$L13)</f>
      </c>
      <c r="Q13" s="106">
        <f t="shared" si="1"/>
      </c>
      <c r="R13" s="106">
        <f t="shared" si="5"/>
      </c>
      <c r="S13" s="106">
        <f t="shared" si="2"/>
      </c>
      <c r="T13" s="106">
        <f t="shared" si="3"/>
      </c>
      <c r="U13" s="106">
        <f t="shared" si="6"/>
      </c>
      <c r="V13" s="106">
        <f t="shared" si="4"/>
      </c>
    </row>
    <row r="14" spans="1:22" ht="60" x14ac:dyDescent="0.2">
      <c r="A14" s="4">
        <f>Questions!$A14</f>
      </c>
      <c r="B14" s="4">
        <f t="shared" si="0"/>
      </c>
      <c r="C14" s="4">
        <f>VLOOKUP($A14,Questions!$A$3:$L$333,2,0)&amp;""</f>
      </c>
      <c r="D14" s="4">
        <f>VLOOKUP($A14,Questions!$A$3:$L$333,11,0)&amp;""</f>
      </c>
      <c r="E14" s="4">
        <f>VLOOKUP($A14,Questions!$A$3:$L$333,12,0)&amp;""</f>
      </c>
      <c r="F14" s="4">
        <f>VLOOKUP($A14,'Institution Evaluation'!$A$56:$K$345,3,0)&amp;""</f>
      </c>
      <c r="G14" s="4">
        <f>VLOOKUP($A14,'Institution Evaluation'!$A$56:$K$345,7,0)&amp;""</f>
      </c>
      <c r="H14" s="4">
        <f>VLOOKUP($A14,'Institution Evaluation'!$A$56:$K$345,8,0)&amp;""</f>
      </c>
      <c r="I14" s="4">
        <f>VLOOKUP($A14,'Institution Evaluation'!$A$56:$K$345,9,0)&amp;""</f>
      </c>
      <c r="J14" s="4">
        <f>VLOOKUP($A14,'Institution Evaluation'!$A$56:$K$345,10,0)&amp;""</f>
      </c>
      <c r="K14" s="4">
        <f>IF($I14='Auto Responses'!$J$11,20,IF($I14='Auto Responses'!$J$13,5,10))</f>
      </c>
      <c r="L14" s="106">
        <f>IF($E14='Auto Responses'!$L$13, 'Auto Responses'!$J$5,IF(AND($D14='Auto Responses'!$J$27,$H14=""),'Auto Responses'!$J$5,IF(AND($D14='Auto Responses'!$J$27,$H14='Auto Responses'!$J$7),1,IF(AND($D14='Auto Responses'!$J$27,$H14='Auto Responses'!$J$8),0,IF(OR(AND($F14=$G14,$H14=""),$H14='Auto Responses'!$J$7),1,0)))))</f>
      </c>
      <c r="M14" s="4">
        <f>VLOOKUP($A14,'Institution Evaluation'!$A$56:$K$345,11,0)&amp;""</f>
      </c>
      <c r="N14" s="4">
        <f>IF($J14='Auto Responses'!$J$11,1,IF(AND($J14="",$I14='Auto Responses'!$J$11),1,0))</f>
      </c>
      <c r="O14" s="106">
        <f>IF(OR($E14='Auto Responses'!$L$13,$F14='Auto Responses'!$J$5),'Auto Responses'!$J$5,IF($J14="",$K14,IF($J14='Auto Responses'!$J$13,5,IF($J14='Auto Responses'!$J$12,10,IF($J14='Auto Responses'!$J$11,20,0)))))</f>
      </c>
      <c r="P14" s="106">
        <f>IF(OR($O14='Auto Responses'!$J$5,$L14='Auto Responses'!$J$5),'Auto Responses'!$J$5,$O14*$L14)</f>
      </c>
      <c r="Q14" s="106">
        <f t="shared" si="1"/>
      </c>
      <c r="R14" s="106">
        <f t="shared" si="5"/>
      </c>
      <c r="S14" s="106">
        <f t="shared" si="2"/>
      </c>
      <c r="T14" s="106">
        <f t="shared" si="3"/>
      </c>
      <c r="U14" s="106">
        <f t="shared" si="6"/>
      </c>
      <c r="V14" s="106">
        <f t="shared" si="4"/>
      </c>
    </row>
    <row r="15" spans="1:22" ht="60" x14ac:dyDescent="0.2">
      <c r="A15" s="4">
        <f>Questions!$A15</f>
      </c>
      <c r="B15" s="4">
        <f t="shared" si="0"/>
      </c>
      <c r="C15" s="4">
        <f>VLOOKUP($A15,Questions!$A$3:$L$333,2,0)&amp;""</f>
      </c>
      <c r="D15" s="4">
        <f>VLOOKUP($A15,Questions!$A$3:$L$333,11,0)&amp;""</f>
      </c>
      <c r="E15" s="4">
        <f>VLOOKUP($A15,Questions!$A$3:$L$333,12,0)&amp;""</f>
      </c>
      <c r="F15" s="4">
        <f>VLOOKUP($A15,'Institution Evaluation'!$A$56:$K$345,3,0)&amp;""</f>
      </c>
      <c r="G15" s="4">
        <f>VLOOKUP($A15,'Institution Evaluation'!$A$56:$K$345,7,0)&amp;""</f>
      </c>
      <c r="H15" s="4">
        <f>VLOOKUP($A15,'Institution Evaluation'!$A$56:$K$345,8,0)&amp;""</f>
      </c>
      <c r="I15" s="4">
        <f>VLOOKUP($A15,'Institution Evaluation'!$A$56:$K$345,9,0)&amp;""</f>
      </c>
      <c r="J15" s="4">
        <f>VLOOKUP($A15,'Institution Evaluation'!$A$56:$K$345,10,0)&amp;""</f>
      </c>
      <c r="K15" s="4">
        <f>IF($I15='Auto Responses'!$J$11,20,IF($I15='Auto Responses'!$J$13,5,10))</f>
      </c>
      <c r="L15" s="106">
        <f>IF($E15='Auto Responses'!$L$13, 'Auto Responses'!$J$5,IF(AND($D15='Auto Responses'!$J$27,$H15=""),'Auto Responses'!$J$5,IF(AND($D15='Auto Responses'!$J$27,$H15='Auto Responses'!$J$7),1,IF(AND($D15='Auto Responses'!$J$27,$H15='Auto Responses'!$J$8),0,IF(OR(AND($F15=$G15,$H15=""),$H15='Auto Responses'!$J$7),1,0)))))</f>
      </c>
      <c r="M15" s="4">
        <f>VLOOKUP($A15,'Institution Evaluation'!$A$56:$K$345,11,0)&amp;""</f>
      </c>
      <c r="N15" s="4">
        <f>IF($J15='Auto Responses'!$J$11,1,IF(AND($J15="",$I15='Auto Responses'!$J$11),1,0))</f>
      </c>
      <c r="O15" s="106">
        <f>IF(OR($E15='Auto Responses'!$L$13,$F15='Auto Responses'!$J$5),'Auto Responses'!$J$5,IF($J15="",$K15,IF($J15='Auto Responses'!$J$13,5,IF($J15='Auto Responses'!$J$12,10,IF($J15='Auto Responses'!$J$11,20,0)))))</f>
      </c>
      <c r="P15" s="106">
        <f>IF(OR($O15='Auto Responses'!$J$5,$L15='Auto Responses'!$J$5),'Auto Responses'!$J$5,$O15*$L15)</f>
      </c>
      <c r="Q15" s="106">
        <f t="shared" si="1"/>
      </c>
      <c r="R15" s="106">
        <f t="shared" si="5"/>
      </c>
      <c r="S15" s="106">
        <f t="shared" si="2"/>
      </c>
      <c r="T15" s="106">
        <f t="shared" si="3"/>
      </c>
      <c r="U15" s="106">
        <f t="shared" si="6"/>
      </c>
      <c r="V15" s="106">
        <f t="shared" si="4"/>
      </c>
    </row>
    <row r="16" spans="1:22" ht="409.6" x14ac:dyDescent="0.2">
      <c r="A16" s="4">
        <f>Questions!$A16</f>
      </c>
      <c r="B16" s="4">
        <f t="shared" si="0"/>
      </c>
      <c r="C16" s="4">
        <f>VLOOKUP($A16,Questions!$A$3:$L$333,2,0)&amp;""</f>
      </c>
      <c r="D16" s="4">
        <f>VLOOKUP($A16,Questions!$A$3:$L$333,11,0)&amp;""</f>
      </c>
      <c r="E16" s="4">
        <f>VLOOKUP($A16,Questions!$A$3:$L$333,12,0)&amp;""</f>
      </c>
      <c r="F16" s="4">
        <f>VLOOKUP($A16,'Institution Evaluation'!$A$56:$K$345,3,0)&amp;""</f>
      </c>
      <c r="G16" s="4">
        <f>VLOOKUP($A16,'Institution Evaluation'!$A$56:$K$345,7,0)&amp;""</f>
      </c>
      <c r="H16" s="4">
        <f>VLOOKUP($A16,'Institution Evaluation'!$A$56:$K$345,8,0)&amp;""</f>
      </c>
      <c r="I16" s="4">
        <f>VLOOKUP($A16,'Institution Evaluation'!$A$56:$K$345,9,0)&amp;""</f>
      </c>
      <c r="J16" s="4">
        <f>VLOOKUP($A16,'Institution Evaluation'!$A$56:$K$345,10,0)&amp;""</f>
      </c>
      <c r="K16" s="4">
        <f>IF($I16='Auto Responses'!$J$11,20,IF($I16='Auto Responses'!$J$13,5,10))</f>
      </c>
      <c r="L16" s="106">
        <f>IF($E16='Auto Responses'!$L$13, 'Auto Responses'!$J$5,IF(AND($D16='Auto Responses'!$J$27,$H16=""),'Auto Responses'!$J$5,IF(AND($D16='Auto Responses'!$J$27,$H16='Auto Responses'!$J$7),1,IF(AND($D16='Auto Responses'!$J$27,$H16='Auto Responses'!$J$8),0,IF(OR(AND($F16=$G16,$H16=""),$H16='Auto Responses'!$J$7),1,0)))))</f>
      </c>
      <c r="M16" s="4">
        <f>VLOOKUP($A16,'Institution Evaluation'!$A$56:$K$345,11,0)&amp;""</f>
      </c>
      <c r="N16" s="4">
        <f>IF($J16='Auto Responses'!$J$11,1,IF(AND($J16="",$I16='Auto Responses'!$J$11),1,0))</f>
      </c>
      <c r="O16" s="106">
        <f>IF(OR($E16='Auto Responses'!$L$13,$F16='Auto Responses'!$J$5),'Auto Responses'!$J$5,IF($J16="",$K16,IF($J16='Auto Responses'!$J$13,5,IF($J16='Auto Responses'!$J$12,10,IF($J16='Auto Responses'!$J$11,20,0)))))</f>
      </c>
      <c r="P16" s="106">
        <f>IF(OR($O16='Auto Responses'!$J$5,$L16='Auto Responses'!$J$5),'Auto Responses'!$J$5,$O16*$L16)</f>
      </c>
      <c r="Q16" s="106">
        <f t="shared" si="1"/>
      </c>
      <c r="R16" s="106">
        <f t="shared" si="5"/>
      </c>
      <c r="S16" s="106">
        <f t="shared" si="2"/>
      </c>
      <c r="T16" s="106">
        <f t="shared" si="3"/>
      </c>
      <c r="U16" s="106">
        <f t="shared" si="6"/>
      </c>
      <c r="V16" s="106">
        <f t="shared" si="4"/>
      </c>
    </row>
    <row r="17" spans="1:22" ht="60" x14ac:dyDescent="0.2">
      <c r="A17" s="4">
        <f>Questions!$A17</f>
      </c>
      <c r="B17" s="4">
        <f t="shared" si="0"/>
      </c>
      <c r="C17" s="4">
        <f>VLOOKUP($A17,Questions!$A$3:$L$333,2,0)&amp;""</f>
      </c>
      <c r="D17" s="4">
        <f>VLOOKUP($A17,Questions!$A$3:$L$333,11,0)&amp;""</f>
      </c>
      <c r="E17" s="4">
        <f>VLOOKUP($A17,Questions!$A$3:$L$333,12,0)&amp;""</f>
      </c>
      <c r="F17" s="4">
        <f>VLOOKUP($A17,'Institution Evaluation'!$A$56:$K$345,3,0)&amp;""</f>
      </c>
      <c r="G17" s="4">
        <f>VLOOKUP($A17,'Institution Evaluation'!$A$56:$K$345,7,0)&amp;""</f>
      </c>
      <c r="H17" s="4">
        <f>VLOOKUP($A17,'Institution Evaluation'!$A$56:$K$345,8,0)&amp;""</f>
      </c>
      <c r="I17" s="4">
        <f>VLOOKUP($A17,'Institution Evaluation'!$A$56:$K$345,9,0)&amp;""</f>
      </c>
      <c r="J17" s="4">
        <f>VLOOKUP($A17,'Institution Evaluation'!$A$56:$K$345,10,0)&amp;""</f>
      </c>
      <c r="K17" s="4">
        <f>IF($I17='Auto Responses'!$J$11,20,IF($I17='Auto Responses'!$J$13,5,10))</f>
      </c>
      <c r="L17" s="106">
        <f>IF($E17='Auto Responses'!$L$13, 'Auto Responses'!$J$5,IF(AND($D17='Auto Responses'!$J$27,$H17=""),'Auto Responses'!$J$5,IF(AND($D17='Auto Responses'!$J$27,$H17='Auto Responses'!$J$7),1,IF(AND($D17='Auto Responses'!$J$27,$H17='Auto Responses'!$J$8),0,IF(OR(AND($F17=$G17,$H17=""),$H17='Auto Responses'!$J$7),1,0)))))</f>
      </c>
      <c r="M17" s="4">
        <f>VLOOKUP($A17,'Institution Evaluation'!$A$56:$K$345,11,0)&amp;""</f>
      </c>
      <c r="N17" s="4">
        <f>IF($J17='Auto Responses'!$J$11,1,IF(AND($J17="",$I17='Auto Responses'!$J$11),1,0))</f>
      </c>
      <c r="O17" s="106">
        <f>IF($E17='Auto Responses'!$L$13,'Auto Responses'!$J$5,IF($J17="",$K17,IF($J17='Auto Responses'!$J$13,5,IF($J17='Auto Responses'!$J$12,10,IF($J17='Auto Responses'!$J$11,20,0)))))</f>
      </c>
      <c r="P17" s="106">
        <f>IF(OR($O17='Auto Responses'!$J$5,$L17='Auto Responses'!$J$5),'Auto Responses'!$J$5,$O17*$L17)</f>
      </c>
      <c r="Q17" s="106">
        <f t="shared" si="1"/>
      </c>
      <c r="R17" s="106">
        <f t="shared" si="5"/>
      </c>
      <c r="S17" s="106">
        <f t="shared" si="2"/>
      </c>
      <c r="T17" s="106">
        <f t="shared" si="3"/>
      </c>
      <c r="U17" s="106">
        <f t="shared" si="6"/>
      </c>
      <c r="V17" s="106">
        <f t="shared" si="4"/>
      </c>
    </row>
    <row r="18" spans="1:22" ht="60" x14ac:dyDescent="0.2">
      <c r="A18" s="4">
        <f>Questions!$A18</f>
      </c>
      <c r="B18" s="4">
        <f t="shared" si="0"/>
      </c>
      <c r="C18" s="4">
        <f>VLOOKUP($A18,Questions!$A$3:$L$333,2,0)&amp;""</f>
      </c>
      <c r="D18" s="4">
        <f>VLOOKUP($A18,Questions!$A$3:$L$333,11,0)&amp;""</f>
      </c>
      <c r="E18" s="4">
        <f>VLOOKUP($A18,Questions!$A$3:$L$333,12,0)&amp;""</f>
      </c>
      <c r="F18" s="4">
        <f>VLOOKUP($A18,'Institution Evaluation'!$A$56:$K$345,3,0)&amp;""</f>
      </c>
      <c r="G18" s="4">
        <f>VLOOKUP($A18,'Institution Evaluation'!$A$56:$K$345,7,0)&amp;""</f>
      </c>
      <c r="H18" s="4">
        <f>VLOOKUP($A18,'Institution Evaluation'!$A$56:$K$345,8,0)&amp;""</f>
      </c>
      <c r="I18" s="4">
        <f>VLOOKUP($A18,'Institution Evaluation'!$A$56:$K$345,9,0)&amp;""</f>
      </c>
      <c r="J18" s="4">
        <f>VLOOKUP($A18,'Institution Evaluation'!$A$56:$K$345,10,0)&amp;""</f>
      </c>
      <c r="K18" s="4">
        <f>IF($I18='Auto Responses'!$J$11,20,IF($I18='Auto Responses'!$J$13,5,10))</f>
      </c>
      <c r="L18" s="106">
        <f>IF($E18='Auto Responses'!$L$13, 'Auto Responses'!$J$5,IF(AND($D18='Auto Responses'!$J$27,$H18=""),'Auto Responses'!$J$5,IF(AND($D18='Auto Responses'!$J$27,$H18='Auto Responses'!$J$7),1,IF(AND($D18='Auto Responses'!$J$27,$H18='Auto Responses'!$J$8),0,IF(OR(AND($F18=$G18,$H18=""),$H18='Auto Responses'!$J$7),1,0)))))</f>
      </c>
      <c r="M18" s="4">
        <f>VLOOKUP($A18,'Institution Evaluation'!$A$56:$K$345,11,0)&amp;""</f>
      </c>
      <c r="N18" s="4">
        <f>IF($J18='Auto Responses'!$J$11,1,IF(AND($J18="",$I18='Auto Responses'!$J$11),1,0))</f>
      </c>
      <c r="O18" s="106">
        <f>IF($E18='Auto Responses'!$L$13,'Auto Responses'!$J$5,IF($J18="",$K18,IF($J18='Auto Responses'!$J$13,5,IF($J18='Auto Responses'!$J$12,10,IF($J18='Auto Responses'!$J$11,20,0)))))</f>
      </c>
      <c r="P18" s="106">
        <f>IF(OR($O18='Auto Responses'!$J$5,$L18='Auto Responses'!$J$5),'Auto Responses'!$J$5,$O18*$L18)</f>
      </c>
      <c r="Q18" s="106">
        <f t="shared" si="1"/>
      </c>
      <c r="R18" s="106">
        <f t="shared" si="5"/>
      </c>
      <c r="S18" s="106">
        <f t="shared" si="2"/>
      </c>
      <c r="T18" s="106">
        <f t="shared" si="3"/>
      </c>
      <c r="U18" s="106">
        <f t="shared" si="6"/>
      </c>
      <c r="V18" s="106">
        <f t="shared" si="4"/>
      </c>
    </row>
    <row r="19" spans="1:22" ht="60" x14ac:dyDescent="0.2">
      <c r="A19" s="4">
        <f>Questions!$A19</f>
      </c>
      <c r="B19" s="4">
        <f t="shared" si="0"/>
      </c>
      <c r="C19" s="4">
        <f>VLOOKUP($A19,Questions!$A$3:$L$333,2,0)&amp;""</f>
      </c>
      <c r="D19" s="4">
        <f>VLOOKUP($A19,Questions!$A$3:$L$333,11,0)&amp;""</f>
      </c>
      <c r="E19" s="4">
        <f>VLOOKUP($A19,Questions!$A$3:$L$333,12,0)&amp;""</f>
      </c>
      <c r="F19" s="4">
        <f>VLOOKUP($A19,'Institution Evaluation'!$A$56:$K$345,3,0)&amp;""</f>
      </c>
      <c r="G19" s="4">
        <f>VLOOKUP($A19,'Institution Evaluation'!$A$56:$K$345,7,0)&amp;""</f>
      </c>
      <c r="H19" s="4">
        <f>VLOOKUP($A19,'Institution Evaluation'!$A$56:$K$345,8,0)&amp;""</f>
      </c>
      <c r="I19" s="4">
        <f>VLOOKUP($A19,'Institution Evaluation'!$A$56:$K$345,9,0)&amp;""</f>
      </c>
      <c r="J19" s="4">
        <f>VLOOKUP($A19,'Institution Evaluation'!$A$56:$K$345,10,0)&amp;""</f>
      </c>
      <c r="K19" s="4">
        <f>IF($I19='Auto Responses'!$J$11,20,IF($I19='Auto Responses'!$J$13,5,10))</f>
      </c>
      <c r="L19" s="106">
        <f>IF($E19='Auto Responses'!$L$13, 'Auto Responses'!$J$5,IF(AND($D19='Auto Responses'!$J$27,$H19=""),'Auto Responses'!$J$5,IF(AND($D19='Auto Responses'!$J$27,$H19='Auto Responses'!$J$7),1,IF(AND($D19='Auto Responses'!$J$27,$H19='Auto Responses'!$J$8),0,IF(OR(AND($F19=$G19,$H19=""),$H19='Auto Responses'!$J$7),1,0)))))</f>
      </c>
      <c r="M19" s="4">
        <f>VLOOKUP($A19,'Institution Evaluation'!$A$56:$K$345,11,0)&amp;""</f>
      </c>
      <c r="N19" s="4">
        <f>IF($J19='Auto Responses'!$J$11,1,IF(AND($J19="",$I19='Auto Responses'!$J$11),1,0))</f>
      </c>
      <c r="O19" s="106">
        <f>IF($E19='Auto Responses'!$L$13,'Auto Responses'!$J$5,IF($J19="",$K19,IF($J19='Auto Responses'!$J$13,5,IF($J19='Auto Responses'!$J$12,10,IF($J19='Auto Responses'!$J$11,20,0)))))</f>
      </c>
      <c r="P19" s="106">
        <f>IF(OR($O19='Auto Responses'!$J$5,$L19='Auto Responses'!$J$5),'Auto Responses'!$J$5,$O19*$L19)</f>
      </c>
      <c r="Q19" s="106">
        <f t="shared" si="1"/>
      </c>
      <c r="R19" s="106">
        <f t="shared" si="5"/>
      </c>
      <c r="S19" s="106">
        <f t="shared" si="2"/>
      </c>
      <c r="T19" s="106">
        <f t="shared" si="3"/>
      </c>
      <c r="U19" s="106">
        <f t="shared" si="6"/>
      </c>
      <c r="V19" s="106">
        <f t="shared" si="4"/>
      </c>
    </row>
    <row r="20" spans="1:22" ht="60" x14ac:dyDescent="0.2">
      <c r="A20" s="4">
        <f>Questions!$A20</f>
      </c>
      <c r="B20" s="4">
        <f t="shared" si="0"/>
      </c>
      <c r="C20" s="4">
        <f>VLOOKUP($A20,Questions!$A$3:$L$333,2,0)&amp;""</f>
      </c>
      <c r="D20" s="4">
        <f>VLOOKUP($A20,Questions!$A$3:$L$333,11,0)&amp;""</f>
      </c>
      <c r="E20" s="4">
        <f>VLOOKUP($A20,Questions!$A$3:$L$333,12,0)&amp;""</f>
      </c>
      <c r="F20" s="4">
        <f>VLOOKUP($A20,'Institution Evaluation'!$A$56:$K$345,3,0)&amp;""</f>
      </c>
      <c r="G20" s="4">
        <f>VLOOKUP($A20,'Institution Evaluation'!$A$56:$K$345,7,0)&amp;""</f>
      </c>
      <c r="H20" s="4">
        <f>VLOOKUP($A20,'Institution Evaluation'!$A$56:$K$345,8,0)&amp;""</f>
      </c>
      <c r="I20" s="4">
        <f>VLOOKUP($A20,'Institution Evaluation'!$A$56:$K$345,9,0)&amp;""</f>
      </c>
      <c r="J20" s="4">
        <f>VLOOKUP($A20,'Institution Evaluation'!$A$56:$K$345,10,0)&amp;""</f>
      </c>
      <c r="K20" s="4">
        <f>IF($I20='Auto Responses'!$J$11,20,IF($I20='Auto Responses'!$J$13,5,10))</f>
      </c>
      <c r="L20" s="106">
        <f>IF($E20='Auto Responses'!$L$13, 'Auto Responses'!$J$5,IF(AND($D20='Auto Responses'!$J$27,$H20=""),'Auto Responses'!$J$5,IF(AND($D20='Auto Responses'!$J$27,$H20='Auto Responses'!$J$7),1,IF(AND($D20='Auto Responses'!$J$27,$H20='Auto Responses'!$J$8),0,IF(OR(AND($F20=$G20,$H20=""),$H20='Auto Responses'!$J$7),1,0)))))</f>
      </c>
      <c r="M20" s="4">
        <f>VLOOKUP($A20,'Institution Evaluation'!$A$56:$K$345,11,0)&amp;""</f>
      </c>
      <c r="N20" s="4">
        <f>IF($J20='Auto Responses'!$J$11,1,IF(AND($J20="",$I20='Auto Responses'!$J$11),1,0))</f>
      </c>
      <c r="O20" s="106">
        <f>IF($E20='Auto Responses'!$L$13,'Auto Responses'!$J$5,IF($J20="",$K20,IF($J20='Auto Responses'!$J$13,5,IF($J20='Auto Responses'!$J$12,10,IF($J20='Auto Responses'!$J$11,20,0)))))</f>
      </c>
      <c r="P20" s="106">
        <f>IF(OR($O20='Auto Responses'!$J$5,$L20='Auto Responses'!$J$5),'Auto Responses'!$J$5,$O20*$L20)</f>
      </c>
      <c r="Q20" s="106">
        <f t="shared" si="1"/>
      </c>
      <c r="R20" s="106">
        <f t="shared" si="5"/>
      </c>
      <c r="S20" s="106">
        <f t="shared" si="2"/>
      </c>
      <c r="T20" s="106">
        <f t="shared" si="3"/>
      </c>
      <c r="U20" s="106">
        <f t="shared" si="6"/>
      </c>
      <c r="V20" s="106">
        <f t="shared" si="4"/>
      </c>
    </row>
    <row r="21" spans="1:22" ht="60" x14ac:dyDescent="0.2">
      <c r="A21" s="4">
        <f>Questions!$A21</f>
      </c>
      <c r="B21" s="4">
        <f t="shared" si="0"/>
      </c>
      <c r="C21" s="4">
        <f>VLOOKUP($A21,Questions!$A$3:$L$333,2,0)&amp;""</f>
      </c>
      <c r="D21" s="4">
        <f>VLOOKUP($A21,Questions!$A$3:$L$333,11,0)&amp;""</f>
      </c>
      <c r="E21" s="4">
        <f>VLOOKUP($A21,Questions!$A$3:$L$333,12,0)&amp;""</f>
      </c>
      <c r="F21" s="4">
        <f>VLOOKUP($A21,'Institution Evaluation'!$A$56:$K$345,3,0)&amp;""</f>
      </c>
      <c r="G21" s="4">
        <f>VLOOKUP($A21,'Institution Evaluation'!$A$56:$K$345,7,0)&amp;""</f>
      </c>
      <c r="H21" s="4">
        <f>VLOOKUP($A21,'Institution Evaluation'!$A$56:$K$345,8,0)&amp;""</f>
      </c>
      <c r="I21" s="4">
        <f>VLOOKUP($A21,'Institution Evaluation'!$A$56:$K$345,9,0)&amp;""</f>
      </c>
      <c r="J21" s="4">
        <f>VLOOKUP($A21,'Institution Evaluation'!$A$56:$K$345,10,0)&amp;""</f>
      </c>
      <c r="K21" s="4">
        <f>IF($I21='Auto Responses'!$J$11,20,IF($I21='Auto Responses'!$J$13,5,10))</f>
      </c>
      <c r="L21" s="106">
        <f>IF($E21='Auto Responses'!$L$13, 'Auto Responses'!$J$5,IF(AND($D21='Auto Responses'!$J$27,$H21=""),'Auto Responses'!$J$5,IF(AND($D21='Auto Responses'!$J$27,$H21='Auto Responses'!$J$7),1,IF(AND($D21='Auto Responses'!$J$27,$H21='Auto Responses'!$J$8),0,IF(OR(AND($F21=$G21,$H21=""),$H21='Auto Responses'!$J$7),1,0)))))</f>
      </c>
      <c r="M21" s="4">
        <f>VLOOKUP($A21,'Institution Evaluation'!$A$56:$K$345,11,0)&amp;""</f>
      </c>
      <c r="N21" s="4">
        <f>IF($J21='Auto Responses'!$J$11,1,IF(AND($J21="",$I21='Auto Responses'!$J$11),1,0))</f>
      </c>
      <c r="O21" s="106">
        <f>IF($E21='Auto Responses'!$L$13,'Auto Responses'!$J$5,IF($J21="",$K21,IF($J21='Auto Responses'!$J$13,5,IF($J21='Auto Responses'!$J$12,10,IF($J21='Auto Responses'!$J$11,20,0)))))</f>
      </c>
      <c r="P21" s="106">
        <f>IF(OR($O21='Auto Responses'!$J$5,$L21='Auto Responses'!$J$5),'Auto Responses'!$J$5,$O21*$L21)</f>
      </c>
      <c r="Q21" s="106">
        <f t="shared" si="1"/>
      </c>
      <c r="R21" s="106">
        <f t="shared" si="5"/>
      </c>
      <c r="S21" s="106">
        <f t="shared" si="2"/>
      </c>
      <c r="T21" s="106">
        <f t="shared" si="3"/>
      </c>
      <c r="U21" s="106">
        <f t="shared" si="6"/>
      </c>
      <c r="V21" s="106">
        <f t="shared" si="4"/>
      </c>
    </row>
    <row r="22" spans="1:22" ht="60" x14ac:dyDescent="0.2">
      <c r="A22" s="4">
        <f>Questions!$A22</f>
      </c>
      <c r="B22" s="4">
        <f t="shared" si="0"/>
      </c>
      <c r="C22" s="4">
        <f>VLOOKUP($A22,Questions!$A$3:$L$333,2,0)&amp;""</f>
      </c>
      <c r="D22" s="4">
        <f>VLOOKUP($A22,Questions!$A$3:$L$333,11,0)&amp;""</f>
      </c>
      <c r="E22" s="4">
        <f>VLOOKUP($A22,Questions!$A$3:$L$333,12,0)&amp;""</f>
      </c>
      <c r="F22" s="4">
        <f>VLOOKUP($A22,'Institution Evaluation'!$A$56:$K$345,3,0)&amp;""</f>
      </c>
      <c r="G22" s="4">
        <f>VLOOKUP($A22,'Institution Evaluation'!$A$56:$K$345,7,0)&amp;""</f>
      </c>
      <c r="H22" s="4">
        <f>VLOOKUP($A22,'Institution Evaluation'!$A$56:$K$345,8,0)&amp;""</f>
      </c>
      <c r="I22" s="4">
        <f>VLOOKUP($A22,'Institution Evaluation'!$A$56:$K$345,9,0)&amp;""</f>
      </c>
      <c r="J22" s="4">
        <f>VLOOKUP($A22,'Institution Evaluation'!$A$56:$K$345,10,0)&amp;""</f>
      </c>
      <c r="K22" s="4">
        <f>IF($I22='Auto Responses'!$J$11,20,IF($I22='Auto Responses'!$J$13,5,10))</f>
      </c>
      <c r="L22" s="106">
        <f>IF($E22='Auto Responses'!$L$13, 'Auto Responses'!$J$5,IF(AND($D22='Auto Responses'!$J$27,$H22=""),'Auto Responses'!$J$5,IF(AND($D22='Auto Responses'!$J$27,$H22='Auto Responses'!$J$7),1,IF(AND($D22='Auto Responses'!$J$27,$H22='Auto Responses'!$J$8),0,IF(OR(AND($F22=$G22,$H22=""),$H22='Auto Responses'!$J$7),1,0)))))</f>
      </c>
      <c r="M22" s="4">
        <f>VLOOKUP($A22,'Institution Evaluation'!$A$56:$K$345,11,0)&amp;""</f>
      </c>
      <c r="N22" s="4">
        <f>IF($J22='Auto Responses'!$J$11,1,IF(AND($J22="",$I22='Auto Responses'!$J$11),1,0))</f>
      </c>
      <c r="O22" s="106">
        <f>IF($E22='Auto Responses'!$L$13,'Auto Responses'!$J$5,IF($J22="",$K22,IF($J22='Auto Responses'!$J$13,5,IF($J22='Auto Responses'!$J$12,10,IF($J22='Auto Responses'!$J$11,20,0)))))</f>
      </c>
      <c r="P22" s="106">
        <f>IF(OR($O22='Auto Responses'!$J$5,$L22='Auto Responses'!$J$5),'Auto Responses'!$J$5,$O22*$L22)</f>
      </c>
      <c r="Q22" s="106">
        <f t="shared" si="1"/>
      </c>
      <c r="R22" s="106">
        <f t="shared" si="5"/>
      </c>
      <c r="S22" s="106">
        <f t="shared" si="2"/>
      </c>
      <c r="T22" s="106">
        <f t="shared" si="3"/>
      </c>
      <c r="U22" s="106">
        <f t="shared" si="6"/>
      </c>
      <c r="V22" s="106">
        <f t="shared" si="4"/>
      </c>
    </row>
    <row r="23" spans="1:22" ht="75" x14ac:dyDescent="0.2">
      <c r="A23" s="4">
        <f>Questions!$A23</f>
      </c>
      <c r="B23" s="4">
        <f t="shared" si="0"/>
      </c>
      <c r="C23" s="4">
        <f>VLOOKUP($A23,Questions!$A$3:$L$333,2,0)&amp;""</f>
      </c>
      <c r="D23" s="4">
        <f>VLOOKUP($A23,Questions!$A$3:$L$333,11,0)&amp;""</f>
      </c>
      <c r="E23" s="4">
        <f>VLOOKUP($A23,Questions!$A$3:$L$333,12,0)&amp;""</f>
      </c>
      <c r="F23" s="4">
        <f>VLOOKUP($A23,'Institution Evaluation'!$A$56:$K$345,3,0)&amp;""</f>
      </c>
      <c r="G23" s="4">
        <f>VLOOKUP($A23,'Institution Evaluation'!$A$56:$K$345,7,0)&amp;""</f>
      </c>
      <c r="H23" s="4">
        <f>VLOOKUP($A23,'Institution Evaluation'!$A$56:$K$345,8,0)&amp;""</f>
      </c>
      <c r="I23" s="4">
        <f>VLOOKUP($A23,'Institution Evaluation'!$A$56:$K$345,9,0)&amp;""</f>
      </c>
      <c r="J23" s="4">
        <f>VLOOKUP($A23,'Institution Evaluation'!$A$56:$K$345,10,0)&amp;""</f>
      </c>
      <c r="K23" s="4">
        <f>IF($I23='Auto Responses'!$J$11,20,IF($I23='Auto Responses'!$J$13,5,10))</f>
      </c>
      <c r="L23" s="106">
        <f>IF($E23='Auto Responses'!$L$13, 'Auto Responses'!$J$5,IF(AND($D23='Auto Responses'!$J$27,$H23=""),'Auto Responses'!$J$5,IF(AND($D23='Auto Responses'!$J$27,$H23='Auto Responses'!$J$7),1,IF(AND($D23='Auto Responses'!$J$27,$H23='Auto Responses'!$J$8),0,IF(OR(AND($F23=$G23,$H23=""),$H23='Auto Responses'!$J$7),1,0)))))</f>
      </c>
      <c r="M23" s="4">
        <f>VLOOKUP($A23,'Institution Evaluation'!$A$56:$K$345,11,0)&amp;""</f>
      </c>
      <c r="N23" s="4">
        <f>IF($J23='Auto Responses'!$J$11,1,IF(AND($J23="",$I23='Auto Responses'!$J$11),1,0))</f>
      </c>
      <c r="O23" s="106">
        <f>IF($E23='Auto Responses'!$L$13,'Auto Responses'!$J$5,IF($J23="",$K23,IF($J23='Auto Responses'!$J$13,5,IF($J23='Auto Responses'!$J$12,10,IF($J23='Auto Responses'!$J$11,20,0)))))</f>
      </c>
      <c r="P23" s="106">
        <f>IF(OR($O23='Auto Responses'!$J$5,$L23='Auto Responses'!$J$5),'Auto Responses'!$J$5,$O23*$L23)</f>
      </c>
      <c r="Q23" s="106">
        <f t="shared" si="1"/>
      </c>
      <c r="R23" s="106">
        <f t="shared" si="5"/>
      </c>
      <c r="S23" s="106">
        <f t="shared" si="2"/>
      </c>
      <c r="T23" s="106">
        <f t="shared" si="3"/>
      </c>
      <c r="U23" s="106">
        <f t="shared" si="6"/>
      </c>
      <c r="V23" s="106">
        <f t="shared" si="4"/>
      </c>
    </row>
    <row r="24" spans="1:22" ht="60" x14ac:dyDescent="0.2">
      <c r="A24" s="4">
        <f>Questions!$A24</f>
      </c>
      <c r="B24" s="4">
        <f t="shared" si="0"/>
      </c>
      <c r="C24" s="4">
        <f>VLOOKUP($A24,Questions!$A$3:$L$333,2,0)&amp;""</f>
      </c>
      <c r="D24" s="4">
        <f>VLOOKUP($A24,Questions!$A$3:$L$333,11,0)&amp;""</f>
      </c>
      <c r="E24" s="4">
        <f>VLOOKUP($A24,Questions!$A$3:$L$333,12,0)&amp;""</f>
      </c>
      <c r="F24" s="4">
        <f>VLOOKUP($A24,'Institution Evaluation'!$A$56:$K$345,3,0)&amp;""</f>
      </c>
      <c r="G24" s="4">
        <f>VLOOKUP($A24,'Institution Evaluation'!$A$56:$K$345,7,0)&amp;""</f>
      </c>
      <c r="H24" s="4">
        <f>VLOOKUP($A24,'Institution Evaluation'!$A$56:$K$345,8,0)&amp;""</f>
      </c>
      <c r="I24" s="4">
        <f>VLOOKUP($A24,'Institution Evaluation'!$A$56:$K$345,9,0)&amp;""</f>
      </c>
      <c r="J24" s="4">
        <f>VLOOKUP($A24,'Institution Evaluation'!$A$56:$K$345,10,0)&amp;""</f>
      </c>
      <c r="K24" s="4">
        <f>IF($I24='Auto Responses'!$J$11,20,IF($I24='Auto Responses'!$J$13,5,10))</f>
      </c>
      <c r="L24" s="106">
        <f>IF($E24='Auto Responses'!$L$13, 'Auto Responses'!$J$5,IF(AND($D24='Auto Responses'!$J$27,$H24=""),'Auto Responses'!$J$5,IF(AND($D24='Auto Responses'!$J$27,$H24='Auto Responses'!$J$7),1,IF(AND($D24='Auto Responses'!$J$27,$H24='Auto Responses'!$J$8),0,IF(OR(AND($F24=$G24,$H24=""),$H24='Auto Responses'!$J$7),1,0)))))</f>
      </c>
      <c r="M24" s="4">
        <f>VLOOKUP($A24,'Institution Evaluation'!$A$56:$K$345,11,0)&amp;""</f>
      </c>
      <c r="N24" s="4">
        <f>IF($J24='Auto Responses'!$J$11,1,IF(AND($J24="",$I24='Auto Responses'!$J$11),1,0))</f>
      </c>
      <c r="O24" s="106">
        <f>IF($E24='Auto Responses'!$L$13,'Auto Responses'!$J$5,IF($J24="",$K24,IF($J24='Auto Responses'!$J$13,5,IF($J24='Auto Responses'!$J$12,10,IF($J24='Auto Responses'!$J$11,20,0)))))</f>
      </c>
      <c r="P24" s="106">
        <f>IF(OR($O24='Auto Responses'!$J$5,$L24='Auto Responses'!$J$5),'Auto Responses'!$J$5,$O24*$L24)</f>
      </c>
      <c r="Q24" s="106">
        <f t="shared" si="1"/>
      </c>
      <c r="R24" s="106">
        <f t="shared" si="5"/>
      </c>
      <c r="S24" s="106">
        <f t="shared" si="2"/>
      </c>
      <c r="T24" s="106">
        <f t="shared" si="3"/>
      </c>
      <c r="U24" s="106">
        <f t="shared" si="6"/>
      </c>
      <c r="V24" s="106">
        <f t="shared" si="4"/>
      </c>
    </row>
    <row r="25" spans="1:22" ht="60" x14ac:dyDescent="0.2">
      <c r="A25" s="4">
        <f>Questions!$A25</f>
      </c>
      <c r="B25" s="4">
        <f t="shared" si="0"/>
      </c>
      <c r="C25" s="4">
        <f>VLOOKUP($A25,Questions!$A$3:$L$333,2,0)&amp;""</f>
      </c>
      <c r="D25" s="4">
        <f>VLOOKUP($A25,Questions!$A$3:$L$333,11,0)&amp;""</f>
      </c>
      <c r="E25" s="4">
        <f>VLOOKUP($A25,Questions!$A$3:$L$333,12,0)&amp;""</f>
      </c>
      <c r="F25" s="4">
        <f>VLOOKUP($A25,'Institution Evaluation'!$A$56:$K$345,3,0)&amp;""</f>
      </c>
      <c r="G25" s="4">
        <f>VLOOKUP($A25,'Institution Evaluation'!$A$56:$K$345,7,0)&amp;""</f>
      </c>
      <c r="H25" s="4">
        <f>VLOOKUP($A25,'Institution Evaluation'!$A$56:$K$345,8,0)&amp;""</f>
      </c>
      <c r="I25" s="4">
        <f>VLOOKUP($A25,'Institution Evaluation'!$A$56:$K$345,9,0)&amp;""</f>
      </c>
      <c r="J25" s="4">
        <f>VLOOKUP($A25,'Institution Evaluation'!$A$56:$K$345,10,0)&amp;""</f>
      </c>
      <c r="K25" s="4">
        <f>IF($I25='Auto Responses'!$J$11,20,IF($I25='Auto Responses'!$J$13,5,10))</f>
      </c>
      <c r="L25" s="106">
        <f>IF($E25='Auto Responses'!$L$13, 'Auto Responses'!$J$5,IF(AND($D25='Auto Responses'!$J$27,$H25=""),'Auto Responses'!$J$5,IF(AND($D25='Auto Responses'!$J$27,$H25='Auto Responses'!$J$7),1,IF(AND($D25='Auto Responses'!$J$27,$H25='Auto Responses'!$J$8),0,IF(OR(AND($F25=$G25,$H25=""),$H25='Auto Responses'!$J$7),1,0)))))</f>
      </c>
      <c r="M25" s="4">
        <f>VLOOKUP($A25,'Institution Evaluation'!$A$56:$K$345,11,0)&amp;""</f>
      </c>
      <c r="N25" s="4">
        <f>IF($J25='Auto Responses'!$J$11,1,IF(AND($J25="",$I25='Auto Responses'!$J$11),1,0))</f>
      </c>
      <c r="O25" s="106">
        <f>IF(OR($E25='Auto Responses'!$L$13,$F25='Auto Responses'!$J$5),'Auto Responses'!$J$5,IF($J25="",$K25,IF($J25='Auto Responses'!$J$13,5,IF($J25='Auto Responses'!$J$12,10,IF($J25='Auto Responses'!$J$11,20,0)))))</f>
      </c>
      <c r="P25" s="106">
        <f>IF(OR($O25='Auto Responses'!$J$5,$L25='Auto Responses'!$J$5),'Auto Responses'!$J$5,$O25*$L25)</f>
      </c>
      <c r="Q25" s="106">
        <f t="shared" si="1"/>
      </c>
      <c r="R25" s="106">
        <f t="shared" si="5"/>
      </c>
      <c r="S25" s="106">
        <f t="shared" si="2"/>
      </c>
      <c r="T25" s="106">
        <f t="shared" si="3"/>
      </c>
      <c r="U25" s="106">
        <f t="shared" si="6"/>
      </c>
      <c r="V25" s="106">
        <f t="shared" si="4"/>
      </c>
    </row>
    <row r="26" spans="1:22" ht="60" x14ac:dyDescent="0.2">
      <c r="A26" s="4">
        <f>Questions!$A26</f>
      </c>
      <c r="B26" s="4">
        <f t="shared" si="0"/>
      </c>
      <c r="C26" s="4">
        <f>VLOOKUP($A26,Questions!$A$3:$L$333,2,0)&amp;""</f>
      </c>
      <c r="D26" s="4">
        <f>VLOOKUP($A26,Questions!$A$3:$L$333,11,0)&amp;""</f>
      </c>
      <c r="E26" s="4">
        <f>VLOOKUP($A26,Questions!$A$3:$L$333,12,0)&amp;""</f>
      </c>
      <c r="F26" s="4">
        <f>VLOOKUP($A26,'Institution Evaluation'!$A$56:$K$345,3,0)&amp;""</f>
      </c>
      <c r="G26" s="4">
        <f>VLOOKUP($A26,'Institution Evaluation'!$A$56:$K$345,7,0)&amp;""</f>
      </c>
      <c r="H26" s="4">
        <f>VLOOKUP($A26,'Institution Evaluation'!$A$56:$K$345,8,0)&amp;""</f>
      </c>
      <c r="I26" s="4">
        <f>VLOOKUP($A26,'Institution Evaluation'!$A$56:$K$345,9,0)&amp;""</f>
      </c>
      <c r="J26" s="4">
        <f>VLOOKUP($A26,'Institution Evaluation'!$A$56:$K$345,10,0)&amp;""</f>
      </c>
      <c r="K26" s="4">
        <f>IF($I26='Auto Responses'!$J$11,20,IF($I26='Auto Responses'!$J$13,5,10))</f>
      </c>
      <c r="L26" s="106">
        <f>IF($E26='Auto Responses'!$L$13, 'Auto Responses'!$J$5,IF(AND($D26='Auto Responses'!$J$27,$H26=""),'Auto Responses'!$J$5,IF(AND($D26='Auto Responses'!$J$27,$H26='Auto Responses'!$J$7),1,IF(AND($D26='Auto Responses'!$J$27,$H26='Auto Responses'!$J$8),0,IF(OR(AND($F26=$G26,$H26=""),$H26='Auto Responses'!$J$7),1,0)))))</f>
      </c>
      <c r="M26" s="4">
        <f>VLOOKUP($A26,'Institution Evaluation'!$A$56:$K$345,11,0)&amp;""</f>
      </c>
      <c r="N26" s="4">
        <f>IF($J26='Auto Responses'!$J$11,1,IF(AND($J26="",$I26='Auto Responses'!$J$11),1,0))</f>
      </c>
      <c r="O26" s="106">
        <f>IF(OR($E26='Auto Responses'!$L$13,$F26='Auto Responses'!$J$5),'Auto Responses'!$J$5,IF($J26="",$K26,IF($J26='Auto Responses'!$J$13,5,IF($J26='Auto Responses'!$J$12,10,IF($J26='Auto Responses'!$J$11,20,0)))))</f>
      </c>
      <c r="P26" s="106">
        <f>IF(OR($O26='Auto Responses'!$J$5,$L26='Auto Responses'!$J$5),'Auto Responses'!$J$5,$O26*$L26)</f>
      </c>
      <c r="Q26" s="106">
        <f t="shared" si="1"/>
      </c>
      <c r="R26" s="106">
        <f t="shared" si="5"/>
      </c>
      <c r="S26" s="106">
        <f t="shared" si="2"/>
      </c>
      <c r="T26" s="106">
        <f t="shared" si="3"/>
      </c>
      <c r="U26" s="106">
        <f t="shared" si="6"/>
      </c>
      <c r="V26" s="106">
        <f t="shared" si="4"/>
      </c>
    </row>
    <row r="27" spans="1:22" ht="60" x14ac:dyDescent="0.2">
      <c r="A27" s="4">
        <f>Questions!$A27</f>
      </c>
      <c r="B27" s="4">
        <f t="shared" si="0"/>
      </c>
      <c r="C27" s="4">
        <f>VLOOKUP($A27,Questions!$A$3:$L$333,2,0)&amp;""</f>
      </c>
      <c r="D27" s="4">
        <f>VLOOKUP($A27,Questions!$A$3:$L$333,11,0)&amp;""</f>
      </c>
      <c r="E27" s="4">
        <f>VLOOKUP($A27,Questions!$A$3:$L$333,12,0)&amp;""</f>
      </c>
      <c r="F27" s="4">
        <f>VLOOKUP($A27,'Institution Evaluation'!$A$56:$K$345,3,0)&amp;""</f>
      </c>
      <c r="G27" s="4">
        <f>VLOOKUP($A27,'Institution Evaluation'!$A$56:$K$345,7,0)&amp;""</f>
      </c>
      <c r="H27" s="4">
        <f>VLOOKUP($A27,'Institution Evaluation'!$A$56:$K$345,8,0)&amp;""</f>
      </c>
      <c r="I27" s="4">
        <f>VLOOKUP($A27,'Institution Evaluation'!$A$56:$K$345,9,0)&amp;""</f>
      </c>
      <c r="J27" s="4">
        <f>VLOOKUP($A27,'Institution Evaluation'!$A$56:$K$345,10,0)&amp;""</f>
      </c>
      <c r="K27" s="4">
        <f>IF($I27='Auto Responses'!$J$11,20,IF($I27='Auto Responses'!$J$13,5,10))</f>
      </c>
      <c r="L27" s="106">
        <f>IF($E27='Auto Responses'!$L$13, 'Auto Responses'!$J$5,IF(AND($D27='Auto Responses'!$J$27,$H27=""),'Auto Responses'!$J$5,IF(AND($D27='Auto Responses'!$J$27,$H27='Auto Responses'!$J$7),1,IF(AND($D27='Auto Responses'!$J$27,$H27='Auto Responses'!$J$8),0,IF(OR(AND($F27=$G27,$H27=""),$H27='Auto Responses'!$J$7),1,0)))))</f>
      </c>
      <c r="M27" s="4">
        <f>VLOOKUP($A27,'Institution Evaluation'!$A$56:$K$345,11,0)&amp;""</f>
      </c>
      <c r="N27" s="4">
        <f>IF($J27='Auto Responses'!$J$11,1,IF(AND($J27="",$I27='Auto Responses'!$J$11),1,0))</f>
      </c>
      <c r="O27" s="106">
        <f>IF(OR($E27='Auto Responses'!$L$13,$F27='Auto Responses'!$J$5),'Auto Responses'!$J$5,IF($J27="",$K27,IF($J27='Auto Responses'!$J$13,5,IF($J27='Auto Responses'!$J$12,10,IF($J27='Auto Responses'!$J$11,20,0)))))</f>
      </c>
      <c r="P27" s="106">
        <f>IF(OR($O27='Auto Responses'!$J$5,$L27='Auto Responses'!$J$5),'Auto Responses'!$J$5,$O27*$L27)</f>
      </c>
      <c r="Q27" s="106">
        <f t="shared" si="1"/>
      </c>
      <c r="R27" s="106">
        <f t="shared" si="5"/>
      </c>
      <c r="S27" s="106">
        <f t="shared" si="2"/>
      </c>
      <c r="T27" s="106">
        <f t="shared" si="3"/>
      </c>
      <c r="U27" s="106">
        <f t="shared" si="6"/>
      </c>
      <c r="V27" s="106">
        <f t="shared" si="4"/>
      </c>
    </row>
    <row r="28" spans="1:22" ht="60" x14ac:dyDescent="0.2">
      <c r="A28" s="4">
        <f>Questions!$A28</f>
      </c>
      <c r="B28" s="4">
        <f t="shared" si="0"/>
      </c>
      <c r="C28" s="4">
        <f>VLOOKUP($A28,Questions!$A$3:$L$333,2,0)&amp;""</f>
      </c>
      <c r="D28" s="4">
        <f>VLOOKUP($A28,Questions!$A$3:$L$333,11,0)&amp;""</f>
      </c>
      <c r="E28" s="4">
        <f>VLOOKUP($A28,Questions!$A$3:$L$333,12,0)&amp;""</f>
      </c>
      <c r="F28" s="4">
        <f>VLOOKUP($A28,'Institution Evaluation'!$A$56:$K$345,3,0)&amp;""</f>
      </c>
      <c r="G28" s="4">
        <f>VLOOKUP($A28,'Institution Evaluation'!$A$56:$K$345,7,0)&amp;""</f>
      </c>
      <c r="H28" s="4">
        <f>VLOOKUP($A28,'Institution Evaluation'!$A$56:$K$345,8,0)&amp;""</f>
      </c>
      <c r="I28" s="4">
        <f>VLOOKUP($A28,'Institution Evaluation'!$A$56:$K$345,9,0)&amp;""</f>
      </c>
      <c r="J28" s="4">
        <f>VLOOKUP($A28,'Institution Evaluation'!$A$56:$K$345,10,0)&amp;""</f>
      </c>
      <c r="K28" s="4">
        <f>IF($I28='Auto Responses'!$J$11,20,IF($I28='Auto Responses'!$J$13,5,10))</f>
      </c>
      <c r="L28" s="106">
        <f>IF($E28='Auto Responses'!$L$13, 'Auto Responses'!$J$5,IF(AND($D28='Auto Responses'!$J$27,$H28=""),'Auto Responses'!$J$5,IF(AND($D28='Auto Responses'!$J$27,$H28='Auto Responses'!$J$7),1,IF(AND($D28='Auto Responses'!$J$27,$H28='Auto Responses'!$J$8),0,IF(OR(AND($F28=$G28,$H28=""),$H28='Auto Responses'!$J$7),1,0)))))</f>
      </c>
      <c r="M28" s="4">
        <f>VLOOKUP($A28,'Institution Evaluation'!$A$56:$K$345,11,0)&amp;""</f>
      </c>
      <c r="N28" s="4">
        <f>IF($J28='Auto Responses'!$J$11,1,IF(AND($J28="",$I28='Auto Responses'!$J$11),1,0))</f>
      </c>
      <c r="O28" s="106">
        <f>IF(OR($E28='Auto Responses'!$L$13,$F28='Auto Responses'!$J$5),'Auto Responses'!$J$5,IF($J28="",$K28,IF($J28='Auto Responses'!$J$13,5,IF($J28='Auto Responses'!$J$12,10,IF($J28='Auto Responses'!$J$11,20,0)))))</f>
      </c>
      <c r="P28" s="106">
        <f>IF(OR($O28='Auto Responses'!$J$5,$L28='Auto Responses'!$J$5),'Auto Responses'!$J$5,$O28*$L28)</f>
      </c>
      <c r="Q28" s="106">
        <f t="shared" si="1"/>
      </c>
      <c r="R28" s="106">
        <f t="shared" si="5"/>
      </c>
      <c r="S28" s="106">
        <f t="shared" si="2"/>
      </c>
      <c r="T28" s="106">
        <f t="shared" si="3"/>
      </c>
      <c r="U28" s="106">
        <f t="shared" si="6"/>
      </c>
      <c r="V28" s="106">
        <f t="shared" si="4"/>
      </c>
    </row>
    <row r="29" spans="1:22" ht="60" x14ac:dyDescent="0.2">
      <c r="A29" s="4">
        <f>Questions!$A29</f>
      </c>
      <c r="B29" s="4">
        <f t="shared" si="0"/>
      </c>
      <c r="C29" s="4">
        <f>VLOOKUP($A29,Questions!$A$3:$L$333,2,0)&amp;""</f>
      </c>
      <c r="D29" s="4">
        <f>VLOOKUP($A29,Questions!$A$3:$L$333,11,0)&amp;""</f>
      </c>
      <c r="E29" s="4">
        <f>VLOOKUP($A29,Questions!$A$3:$L$333,12,0)&amp;""</f>
      </c>
      <c r="F29" s="4">
        <f>VLOOKUP($A29,'Institution Evaluation'!$A$56:$K$345,3,0)&amp;""</f>
      </c>
      <c r="G29" s="4">
        <f>VLOOKUP($A29,'Institution Evaluation'!$A$56:$K$345,7,0)&amp;""</f>
      </c>
      <c r="H29" s="4">
        <f>VLOOKUP($A29,'Institution Evaluation'!$A$56:$K$345,8,0)&amp;""</f>
      </c>
      <c r="I29" s="4">
        <f>VLOOKUP($A29,'Institution Evaluation'!$A$56:$K$345,9,0)&amp;""</f>
      </c>
      <c r="J29" s="4">
        <f>VLOOKUP($A29,'Institution Evaluation'!$A$56:$K$345,10,0)&amp;""</f>
      </c>
      <c r="K29" s="4">
        <f>IF($I29='Auto Responses'!$J$11,20,IF($I29='Auto Responses'!$J$13,5,10))</f>
      </c>
      <c r="L29" s="106">
        <f>IF($E29='Auto Responses'!$L$13, 'Auto Responses'!$J$5,IF(AND($D29='Auto Responses'!$J$27,$H29=""),'Auto Responses'!$J$5,IF(AND($D29='Auto Responses'!$J$27,$H29='Auto Responses'!$J$7),1,IF(AND($D29='Auto Responses'!$J$27,$H29='Auto Responses'!$J$8),0,IF(OR(AND($F29=$G29,$H29=""),$H29='Auto Responses'!$J$7),1,0)))))</f>
      </c>
      <c r="M29" s="4">
        <f>VLOOKUP($A29,'Institution Evaluation'!$A$56:$K$345,11,0)&amp;""</f>
      </c>
      <c r="N29" s="4">
        <f>IF($J29='Auto Responses'!$J$11,1,IF(AND($J29="",$I29='Auto Responses'!$J$11),1,0))</f>
      </c>
      <c r="O29" s="106">
        <f>IF(OR($E29='Auto Responses'!$L$13,$F29='Auto Responses'!$J$5),'Auto Responses'!$J$5,IF($J29="",$K29,IF($J29='Auto Responses'!$J$13,5,IF($J29='Auto Responses'!$J$12,10,IF($J29='Auto Responses'!$J$11,20,0)))))</f>
      </c>
      <c r="P29" s="106">
        <f>IF(OR($O29='Auto Responses'!$J$5,$L29='Auto Responses'!$J$5),'Auto Responses'!$J$5,$O29*$L29)</f>
      </c>
      <c r="Q29" s="106">
        <f t="shared" si="1"/>
      </c>
      <c r="R29" s="106">
        <f t="shared" si="5"/>
      </c>
      <c r="S29" s="106">
        <f t="shared" si="2"/>
      </c>
      <c r="T29" s="106">
        <f t="shared" si="3"/>
      </c>
      <c r="U29" s="106">
        <f t="shared" si="6"/>
      </c>
      <c r="V29" s="106">
        <f t="shared" si="4"/>
      </c>
    </row>
    <row r="30" spans="1:22" ht="60" x14ac:dyDescent="0.2">
      <c r="A30" s="4">
        <f>Questions!$A30</f>
      </c>
      <c r="B30" s="4">
        <f t="shared" si="0"/>
      </c>
      <c r="C30" s="4">
        <f>VLOOKUP($A30,Questions!$A$3:$L$333,2,0)&amp;""</f>
      </c>
      <c r="D30" s="4">
        <f>VLOOKUP($A30,Questions!$A$3:$L$333,11,0)&amp;""</f>
      </c>
      <c r="E30" s="4">
        <f>VLOOKUP($A30,Questions!$A$3:$L$333,12,0)&amp;""</f>
      </c>
      <c r="F30" s="4">
        <f>VLOOKUP($A30,'Institution Evaluation'!$A$56:$K$345,3,0)&amp;""</f>
      </c>
      <c r="G30" s="4">
        <f>VLOOKUP($A30,'Institution Evaluation'!$A$56:$K$345,7,0)&amp;""</f>
      </c>
      <c r="H30" s="4">
        <f>VLOOKUP($A30,'Institution Evaluation'!$A$56:$K$345,8,0)&amp;""</f>
      </c>
      <c r="I30" s="4">
        <f>VLOOKUP($A30,'Institution Evaluation'!$A$56:$K$345,9,0)&amp;""</f>
      </c>
      <c r="J30" s="4">
        <f>VLOOKUP($A30,'Institution Evaluation'!$A$56:$K$345,10,0)&amp;""</f>
      </c>
      <c r="K30" s="4">
        <f>IF($I30='Auto Responses'!$J$11,20,IF($I30='Auto Responses'!$J$13,5,10))</f>
      </c>
      <c r="L30" s="106">
        <f>IF($E30='Auto Responses'!$L$13, 'Auto Responses'!$J$5,IF(AND($D30='Auto Responses'!$J$27,$H30=""),'Auto Responses'!$J$5,IF(AND($D30='Auto Responses'!$J$27,$H30='Auto Responses'!$J$7),1,IF(AND($D30='Auto Responses'!$J$27,$H30='Auto Responses'!$J$8),0,IF(OR(AND($F30=$G30,$H30=""),$H30='Auto Responses'!$J$7),1,0)))))</f>
      </c>
      <c r="M30" s="4">
        <f>VLOOKUP($A30,'Institution Evaluation'!$A$56:$K$345,11,0)&amp;""</f>
      </c>
      <c r="N30" s="4">
        <f>IF($J30='Auto Responses'!$J$11,1,IF(AND($J30="",$I30='Auto Responses'!$J$11),1,0))</f>
      </c>
      <c r="O30" s="106">
        <f>IF(OR($E30='Auto Responses'!$L$13,$F30='Auto Responses'!$J$5),'Auto Responses'!$J$5,IF($J30="",$K30,IF($J30='Auto Responses'!$J$13,5,IF($J30='Auto Responses'!$J$12,10,IF($J30='Auto Responses'!$J$11,20,0)))))</f>
      </c>
      <c r="P30" s="106">
        <f>IF(OR($O30='Auto Responses'!$J$5,$L30='Auto Responses'!$J$5),'Auto Responses'!$J$5,$O30*$L30)</f>
      </c>
      <c r="Q30" s="106">
        <f t="shared" si="1"/>
      </c>
      <c r="R30" s="106">
        <f t="shared" si="5"/>
      </c>
      <c r="S30" s="106">
        <f t="shared" si="2"/>
      </c>
      <c r="T30" s="106">
        <f t="shared" si="3"/>
      </c>
      <c r="U30" s="106">
        <f t="shared" si="6"/>
      </c>
      <c r="V30" s="106">
        <f t="shared" si="4"/>
      </c>
    </row>
    <row r="31" spans="1:22" ht="60" x14ac:dyDescent="0.2">
      <c r="A31" s="4">
        <f>Questions!$A31</f>
      </c>
      <c r="B31" s="4">
        <f t="shared" si="0"/>
      </c>
      <c r="C31" s="4">
        <f>VLOOKUP($A31,Questions!$A$3:$L$333,2,0)&amp;""</f>
      </c>
      <c r="D31" s="4">
        <f>VLOOKUP($A31,Questions!$A$3:$L$333,11,0)&amp;""</f>
      </c>
      <c r="E31" s="4">
        <f>VLOOKUP($A31,Questions!$A$3:$L$333,12,0)&amp;""</f>
      </c>
      <c r="F31" s="4">
        <f>VLOOKUP($A31,'Institution Evaluation'!$A$56:$K$345,3,0)&amp;""</f>
      </c>
      <c r="G31" s="4">
        <f>VLOOKUP($A31,'Institution Evaluation'!$A$56:$K$345,7,0)&amp;""</f>
      </c>
      <c r="H31" s="4">
        <f>VLOOKUP($A31,'Institution Evaluation'!$A$56:$K$345,8,0)&amp;""</f>
      </c>
      <c r="I31" s="4">
        <f>VLOOKUP($A31,'Institution Evaluation'!$A$56:$K$345,9,0)&amp;""</f>
      </c>
      <c r="J31" s="4">
        <f>VLOOKUP($A31,'Institution Evaluation'!$A$56:$K$345,10,0)&amp;""</f>
      </c>
      <c r="K31" s="4">
        <f>IF($I31='Auto Responses'!$J$11,20,IF($I31='Auto Responses'!$J$13,5,10))</f>
      </c>
      <c r="L31" s="106">
        <f>IF($E31='Auto Responses'!$L$13, 'Auto Responses'!$J$5,IF(AND($D31='Auto Responses'!$J$27,$H31=""),'Auto Responses'!$J$5,IF(AND($D31='Auto Responses'!$J$27,$H31='Auto Responses'!$J$7),1,IF(AND($D31='Auto Responses'!$J$27,$H31='Auto Responses'!$J$8),0,IF(OR(AND($F31=$G31,$H31=""),$H31='Auto Responses'!$J$7),1,0)))))</f>
      </c>
      <c r="M31" s="4">
        <f>VLOOKUP($A31,'Institution Evaluation'!$A$56:$K$345,11,0)&amp;""</f>
      </c>
      <c r="N31" s="4">
        <f>IF($J31='Auto Responses'!$J$11,1,IF(AND($J31="",$I31='Auto Responses'!$J$11),1,0))</f>
      </c>
      <c r="O31" s="106">
        <f>IF(OR($E31='Auto Responses'!$L$13,$F31='Auto Responses'!$J$5),'Auto Responses'!$J$5,IF($J31="",$K31,IF($J31='Auto Responses'!$J$13,5,IF($J31='Auto Responses'!$J$12,10,IF($J31='Auto Responses'!$J$11,20,0)))))</f>
      </c>
      <c r="P31" s="106">
        <f>IF(OR($O31='Auto Responses'!$J$5,$L31='Auto Responses'!$J$5),'Auto Responses'!$J$5,$O31*$L31)</f>
      </c>
      <c r="Q31" s="106">
        <f t="shared" si="1"/>
      </c>
      <c r="R31" s="106">
        <f t="shared" si="5"/>
      </c>
      <c r="S31" s="106">
        <f t="shared" si="2"/>
      </c>
      <c r="T31" s="106">
        <f t="shared" si="3"/>
      </c>
      <c r="U31" s="106">
        <f t="shared" si="6"/>
      </c>
      <c r="V31" s="106">
        <f t="shared" si="4"/>
      </c>
    </row>
    <row r="32" spans="1:22" ht="60" x14ac:dyDescent="0.2">
      <c r="A32" s="4">
        <f>Questions!$A32</f>
      </c>
      <c r="B32" s="4">
        <f t="shared" si="0"/>
      </c>
      <c r="C32" s="4">
        <f>VLOOKUP($A32,Questions!$A$3:$L$333,2,0)&amp;""</f>
      </c>
      <c r="D32" s="4">
        <f>VLOOKUP($A32,Questions!$A$3:$L$333,11,0)&amp;""</f>
      </c>
      <c r="E32" s="4">
        <f>VLOOKUP($A32,Questions!$A$3:$L$333,12,0)&amp;""</f>
      </c>
      <c r="F32" s="4">
        <f>VLOOKUP($A32,'Institution Evaluation'!$A$56:$K$345,3,0)&amp;""</f>
      </c>
      <c r="G32" s="4">
        <f>VLOOKUP($A32,'Institution Evaluation'!$A$56:$K$345,7,0)&amp;""</f>
      </c>
      <c r="H32" s="4">
        <f>VLOOKUP($A32,'Institution Evaluation'!$A$56:$K$345,8,0)&amp;""</f>
      </c>
      <c r="I32" s="4">
        <f>VLOOKUP($A32,'Institution Evaluation'!$A$56:$K$345,9,0)&amp;""</f>
      </c>
      <c r="J32" s="4">
        <f>VLOOKUP($A32,'Institution Evaluation'!$A$56:$K$345,10,0)&amp;""</f>
      </c>
      <c r="K32" s="4">
        <f>IF($I32='Auto Responses'!$J$11,20,IF($I32='Auto Responses'!$J$13,5,10))</f>
      </c>
      <c r="L32" s="106">
        <f>IF($E32='Auto Responses'!$L$13, 'Auto Responses'!$J$5,IF(AND($D32='Auto Responses'!$J$27,$H32=""),'Auto Responses'!$J$5,IF(AND($D32='Auto Responses'!$J$27,$H32='Auto Responses'!$J$7),1,IF(AND($D32='Auto Responses'!$J$27,$H32='Auto Responses'!$J$8),0,IF(OR(AND($F32=$G32,$H32=""),$H32='Auto Responses'!$J$7),1,0)))))</f>
      </c>
      <c r="M32" s="4">
        <f>VLOOKUP($A32,'Institution Evaluation'!$A$56:$K$345,11,0)&amp;""</f>
      </c>
      <c r="N32" s="4">
        <f>IF($J32='Auto Responses'!$J$11,1,IF(AND($J32="",$I32='Auto Responses'!$J$11),1,0))</f>
      </c>
      <c r="O32" s="106">
        <f>IF(OR($F$18='Auto Responses'!$J$4,$E32='Auto Responses'!$L$13,$F32='Auto Responses'!$J$5),'Auto Responses'!$J$5,IF($J32="",$K32,IF($J32='Auto Responses'!$J$13,5,IF($J32='Auto Responses'!$J$12,10,IF($J32='Auto Responses'!$J$11,20,0)))))</f>
      </c>
      <c r="P32" s="106">
        <f>IF(OR($O32='Auto Responses'!$J$5,$L32='Auto Responses'!$J$5),'Auto Responses'!$J$5,$O32*$L32)</f>
      </c>
      <c r="Q32" s="106">
        <f t="shared" si="1"/>
      </c>
      <c r="R32" s="106">
        <f t="shared" si="5"/>
      </c>
      <c r="S32" s="106">
        <f t="shared" si="2"/>
      </c>
      <c r="T32" s="106">
        <f t="shared" si="3"/>
      </c>
      <c r="U32" s="106">
        <f t="shared" si="6"/>
      </c>
      <c r="V32" s="106">
        <f t="shared" si="4"/>
      </c>
    </row>
    <row r="33" spans="1:22" ht="60" x14ac:dyDescent="0.2">
      <c r="A33" s="4">
        <f>Questions!$A33</f>
      </c>
      <c r="B33" s="4">
        <f t="shared" si="0"/>
      </c>
      <c r="C33" s="4">
        <f>VLOOKUP($A33,Questions!$A$3:$L$333,2,0)&amp;""</f>
      </c>
      <c r="D33" s="4">
        <f>VLOOKUP($A33,Questions!$A$3:$L$333,11,0)&amp;""</f>
      </c>
      <c r="E33" s="4">
        <f>VLOOKUP($A33,Questions!$A$3:$L$333,12,0)&amp;""</f>
      </c>
      <c r="F33" s="4">
        <f>VLOOKUP($A33,'Institution Evaluation'!$A$56:$K$345,3,0)&amp;""</f>
      </c>
      <c r="G33" s="4">
        <f>VLOOKUP($A33,'Institution Evaluation'!$A$56:$K$345,7,0)&amp;""</f>
      </c>
      <c r="H33" s="4">
        <f>VLOOKUP($A33,'Institution Evaluation'!$A$56:$K$345,8,0)&amp;""</f>
      </c>
      <c r="I33" s="4">
        <f>VLOOKUP($A33,'Institution Evaluation'!$A$56:$K$345,9,0)&amp;""</f>
      </c>
      <c r="J33" s="4">
        <f>VLOOKUP($A33,'Institution Evaluation'!$A$56:$K$345,10,0)&amp;""</f>
      </c>
      <c r="K33" s="4">
        <f>IF($I33='Auto Responses'!$J$11,20,IF($I33='Auto Responses'!$J$13,5,10))</f>
      </c>
      <c r="L33" s="106">
        <f>IF($E33='Auto Responses'!$L$13, 'Auto Responses'!$J$5,IF(AND($D33='Auto Responses'!$J$27,$H33=""),'Auto Responses'!$J$5,IF(AND($D33='Auto Responses'!$J$27,$H33='Auto Responses'!$J$7),1,IF(AND($D33='Auto Responses'!$J$27,$H33='Auto Responses'!$J$8),0,IF(OR(AND($F33=$G33,$H33=""),$H33='Auto Responses'!$J$7),1,0)))))</f>
      </c>
      <c r="M33" s="4">
        <f>VLOOKUP($A33,'Institution Evaluation'!$A$56:$K$345,11,0)&amp;""</f>
      </c>
      <c r="N33" s="4">
        <f>IF($J33='Auto Responses'!$J$11,1,IF(AND($J33="",$I33='Auto Responses'!$J$11),1,0))</f>
      </c>
      <c r="O33" s="106">
        <f>IF(OR($F$18='Auto Responses'!$J$4,$E33='Auto Responses'!$L$13,$F33='Auto Responses'!$J$5),'Auto Responses'!$J$5,IF($J33="",$K33,IF($J33='Auto Responses'!$J$13,5,IF($J33='Auto Responses'!$J$12,10,IF($J33='Auto Responses'!$J$11,20,0)))))</f>
      </c>
      <c r="P33" s="106">
        <f>IF(OR($O33='Auto Responses'!$J$5,$L33='Auto Responses'!$J$5),'Auto Responses'!$J$5,$O33*$L33)</f>
      </c>
      <c r="Q33" s="106">
        <f t="shared" si="1"/>
      </c>
      <c r="R33" s="106">
        <f t="shared" si="5"/>
      </c>
      <c r="S33" s="106">
        <f t="shared" si="2"/>
      </c>
      <c r="T33" s="106">
        <f t="shared" si="3"/>
      </c>
      <c r="U33" s="106">
        <f t="shared" si="6"/>
      </c>
      <c r="V33" s="106">
        <f t="shared" si="4"/>
      </c>
    </row>
    <row r="34" spans="1:22" ht="60" x14ac:dyDescent="0.2">
      <c r="A34" s="4">
        <f>Questions!$A34</f>
      </c>
      <c r="B34" s="4">
        <f t="shared" si="0"/>
      </c>
      <c r="C34" s="4">
        <f>VLOOKUP($A34,Questions!$A$3:$L$333,2,0)&amp;""</f>
      </c>
      <c r="D34" s="4">
        <f>VLOOKUP($A34,Questions!$A$3:$L$333,11,0)&amp;""</f>
      </c>
      <c r="E34" s="4">
        <f>VLOOKUP($A34,Questions!$A$3:$L$333,12,0)&amp;""</f>
      </c>
      <c r="F34" s="4">
        <f>VLOOKUP($A34,'Institution Evaluation'!$A$56:$K$345,3,0)&amp;""</f>
      </c>
      <c r="G34" s="4">
        <f>VLOOKUP($A34,'Institution Evaluation'!$A$56:$K$345,7,0)&amp;""</f>
      </c>
      <c r="H34" s="4">
        <f>VLOOKUP($A34,'Institution Evaluation'!$A$56:$K$345,8,0)&amp;""</f>
      </c>
      <c r="I34" s="4">
        <f>VLOOKUP($A34,'Institution Evaluation'!$A$56:$K$345,9,0)&amp;""</f>
      </c>
      <c r="J34" s="4">
        <f>VLOOKUP($A34,'Institution Evaluation'!$A$56:$K$345,10,0)&amp;""</f>
      </c>
      <c r="K34" s="4">
        <f>IF($I34='Auto Responses'!$J$11,20,IF($I34='Auto Responses'!$J$13,5,10))</f>
      </c>
      <c r="L34" s="106">
        <f>IF($E34='Auto Responses'!$L$13, 'Auto Responses'!$J$5,IF(AND($D34='Auto Responses'!$J$27,$H34=""),'Auto Responses'!$J$5,IF(AND($D34='Auto Responses'!$J$27,$H34='Auto Responses'!$J$7),1,IF(AND($D34='Auto Responses'!$J$27,$H34='Auto Responses'!$J$8),0,IF(OR(AND($F34=$G34,$H34=""),$H34='Auto Responses'!$J$7),1,0)))))</f>
      </c>
      <c r="M34" s="4">
        <f>VLOOKUP($A34,'Institution Evaluation'!$A$56:$K$345,11,0)&amp;""</f>
      </c>
      <c r="N34" s="4">
        <f>IF($J34='Auto Responses'!$J$11,1,IF(AND($J34="",$I34='Auto Responses'!$J$11),1,0))</f>
      </c>
      <c r="O34" s="106">
        <f>IF(OR($F$18='Auto Responses'!$J$4,$E34='Auto Responses'!$L$13,$F34='Auto Responses'!$J$5),'Auto Responses'!$J$5,IF($J34="",$K34,IF($J34='Auto Responses'!$J$13,5,IF($J34='Auto Responses'!$J$12,10,IF($J34='Auto Responses'!$J$11,20,0)))))</f>
      </c>
      <c r="P34" s="106">
        <f>IF(OR($O34='Auto Responses'!$J$5,$L34='Auto Responses'!$J$5),'Auto Responses'!$J$5,$O34*$L34)</f>
      </c>
      <c r="Q34" s="106">
        <f t="shared" si="1"/>
      </c>
      <c r="R34" s="106">
        <f t="shared" si="5"/>
      </c>
      <c r="S34" s="106">
        <f t="shared" si="2"/>
      </c>
      <c r="T34" s="106">
        <f t="shared" si="3"/>
      </c>
      <c r="U34" s="106">
        <f t="shared" si="6"/>
      </c>
      <c r="V34" s="106">
        <f t="shared" si="4"/>
      </c>
    </row>
    <row r="35" spans="1:22" ht="60" x14ac:dyDescent="0.2">
      <c r="A35" s="4">
        <f>Questions!$A35</f>
      </c>
      <c r="B35" s="4">
        <f t="shared" si="0"/>
      </c>
      <c r="C35" s="4">
        <f>VLOOKUP($A35,Questions!$A$3:$L$333,2,0)&amp;""</f>
      </c>
      <c r="D35" s="4">
        <f>VLOOKUP($A35,Questions!$A$3:$L$333,11,0)&amp;""</f>
      </c>
      <c r="E35" s="4">
        <f>VLOOKUP($A35,Questions!$A$3:$L$333,12,0)&amp;""</f>
      </c>
      <c r="F35" s="4">
        <f>VLOOKUP($A35,'Institution Evaluation'!$A$56:$K$345,3,0)&amp;""</f>
      </c>
      <c r="G35" s="4">
        <f>VLOOKUP($A35,'Institution Evaluation'!$A$56:$K$345,7,0)&amp;""</f>
      </c>
      <c r="H35" s="4">
        <f>VLOOKUP($A35,'Institution Evaluation'!$A$56:$K$345,8,0)&amp;""</f>
      </c>
      <c r="I35" s="4">
        <f>VLOOKUP($A35,'Institution Evaluation'!$A$56:$K$345,9,0)&amp;""</f>
      </c>
      <c r="J35" s="4">
        <f>VLOOKUP($A35,'Institution Evaluation'!$A$56:$K$345,10,0)&amp;""</f>
      </c>
      <c r="K35" s="4">
        <f>IF($I35='Auto Responses'!$J$11,20,IF($I35='Auto Responses'!$J$13,5,10))</f>
      </c>
      <c r="L35" s="106">
        <f>IF($E35='Auto Responses'!$L$13, 'Auto Responses'!$J$5,IF(AND($D35='Auto Responses'!$J$27,$H35=""),'Auto Responses'!$J$5,IF(AND($D35='Auto Responses'!$J$27,$H35='Auto Responses'!$J$7),1,IF(AND($D35='Auto Responses'!$J$27,$H35='Auto Responses'!$J$8),0,IF(OR(AND($F35=$G35,$H35=""),$H35='Auto Responses'!$J$7),1,0)))))</f>
      </c>
      <c r="M35" s="4">
        <f>VLOOKUP($A35,'Institution Evaluation'!$A$56:$K$345,11,0)&amp;""</f>
      </c>
      <c r="N35" s="4">
        <f>IF($J35='Auto Responses'!$J$11,1,IF(AND($J35="",$I35='Auto Responses'!$J$11),1,0))</f>
      </c>
      <c r="O35" s="106">
        <f>IF(OR($F$18='Auto Responses'!$J$4,$E35='Auto Responses'!$L$13,$F35='Auto Responses'!$J$5),'Auto Responses'!$J$5,IF($J35="",$K35,IF($J35='Auto Responses'!$J$13,5,IF($J35='Auto Responses'!$J$12,10,IF($J35='Auto Responses'!$J$11,20,0)))))</f>
      </c>
      <c r="P35" s="106">
        <f>IF(OR($O35='Auto Responses'!$J$5,$L35='Auto Responses'!$J$5),'Auto Responses'!$J$5,$O35*$L35)</f>
      </c>
      <c r="Q35" s="106">
        <f t="shared" si="1"/>
      </c>
      <c r="R35" s="106">
        <f t="shared" si="5"/>
      </c>
      <c r="S35" s="106">
        <f t="shared" si="2"/>
      </c>
      <c r="T35" s="106">
        <f t="shared" si="3"/>
      </c>
      <c r="U35" s="106">
        <f t="shared" si="6"/>
      </c>
      <c r="V35" s="106">
        <f t="shared" si="4"/>
      </c>
    </row>
    <row r="36" spans="1:22" ht="60" x14ac:dyDescent="0.2">
      <c r="A36" s="4">
        <f>Questions!$A36</f>
      </c>
      <c r="B36" s="4">
        <f t="shared" si="0"/>
      </c>
      <c r="C36" s="4">
        <f>VLOOKUP($A36,Questions!$A$3:$L$333,2,0)&amp;""</f>
      </c>
      <c r="D36" s="4">
        <f>VLOOKUP($A36,Questions!$A$3:$L$333,11,0)&amp;""</f>
      </c>
      <c r="E36" s="4">
        <f>VLOOKUP($A36,Questions!$A$3:$L$333,12,0)&amp;""</f>
      </c>
      <c r="F36" s="4">
        <f>VLOOKUP($A36,'Institution Evaluation'!$A$56:$K$345,3,0)&amp;""</f>
      </c>
      <c r="G36" s="4">
        <f>VLOOKUP($A36,'Institution Evaluation'!$A$56:$K$345,7,0)&amp;""</f>
      </c>
      <c r="H36" s="4">
        <f>VLOOKUP($A36,'Institution Evaluation'!$A$56:$K$345,8,0)&amp;""</f>
      </c>
      <c r="I36" s="4">
        <f>VLOOKUP($A36,'Institution Evaluation'!$A$56:$K$345,9,0)&amp;""</f>
      </c>
      <c r="J36" s="4">
        <f>VLOOKUP($A36,'Institution Evaluation'!$A$56:$K$345,10,0)&amp;""</f>
      </c>
      <c r="K36" s="4">
        <f>IF($I36='Auto Responses'!$J$11,20,IF($I36='Auto Responses'!$J$13,5,10))</f>
      </c>
      <c r="L36" s="106">
        <f>IF($E36='Auto Responses'!$L$13, 'Auto Responses'!$J$5,IF(AND($D36='Auto Responses'!$J$27,$H36=""),'Auto Responses'!$J$5,IF(AND($D36='Auto Responses'!$J$27,$H36='Auto Responses'!$J$7),1,IF(AND($D36='Auto Responses'!$J$27,$H36='Auto Responses'!$J$8),0,IF(OR(AND($F36=$G36,$H36=""),$H36='Auto Responses'!$J$7),1,0)))))</f>
      </c>
      <c r="M36" s="4">
        <f>VLOOKUP($A36,'Institution Evaluation'!$A$56:$K$345,11,0)&amp;""</f>
      </c>
      <c r="N36" s="4">
        <f>IF($J36='Auto Responses'!$J$11,1,IF(AND($J36="",$I36='Auto Responses'!$J$11),1,0))</f>
      </c>
      <c r="O36" s="106">
        <f>IF(OR($F$18='Auto Responses'!$J$4,$E36='Auto Responses'!$L$13,$F36='Auto Responses'!$J$5),'Auto Responses'!$J$5,IF($J36="",$K36,IF($J36='Auto Responses'!$J$13,5,IF($J36='Auto Responses'!$J$12,10,IF($J36='Auto Responses'!$J$11,20,0)))))</f>
      </c>
      <c r="P36" s="106">
        <f>IF(OR($O36='Auto Responses'!$J$5,$L36='Auto Responses'!$J$5),'Auto Responses'!$J$5,$O36*$L36)</f>
      </c>
      <c r="Q36" s="106">
        <f t="shared" si="1"/>
      </c>
      <c r="R36" s="106">
        <f t="shared" si="5"/>
      </c>
      <c r="S36" s="106">
        <f t="shared" si="2"/>
      </c>
      <c r="T36" s="106">
        <f t="shared" si="3"/>
      </c>
      <c r="U36" s="106">
        <f t="shared" si="6"/>
      </c>
      <c r="V36" s="106">
        <f t="shared" si="4"/>
      </c>
    </row>
    <row r="37" spans="1:22" ht="60" x14ac:dyDescent="0.2">
      <c r="A37" s="4">
        <f>Questions!$A37</f>
      </c>
      <c r="B37" s="4">
        <f t="shared" si="0"/>
      </c>
      <c r="C37" s="4">
        <f>VLOOKUP($A37,Questions!$A$3:$L$333,2,0)&amp;""</f>
      </c>
      <c r="D37" s="4">
        <f>VLOOKUP($A37,Questions!$A$3:$L$333,11,0)&amp;""</f>
      </c>
      <c r="E37" s="4">
        <f>VLOOKUP($A37,Questions!$A$3:$L$333,12,0)&amp;""</f>
      </c>
      <c r="F37" s="4">
        <f>VLOOKUP($A37,'Institution Evaluation'!$A$56:$K$345,3,0)&amp;""</f>
      </c>
      <c r="G37" s="4">
        <f>VLOOKUP($A37,'Institution Evaluation'!$A$56:$K$345,7,0)&amp;""</f>
      </c>
      <c r="H37" s="4">
        <f>VLOOKUP($A37,'Institution Evaluation'!$A$56:$K$345,8,0)&amp;""</f>
      </c>
      <c r="I37" s="4">
        <f>VLOOKUP($A37,'Institution Evaluation'!$A$56:$K$345,9,0)&amp;""</f>
      </c>
      <c r="J37" s="4">
        <f>VLOOKUP($A37,'Institution Evaluation'!$A$56:$K$345,10,0)&amp;""</f>
      </c>
      <c r="K37" s="4">
        <f>IF($I37='Auto Responses'!$J$11,20,IF($I37='Auto Responses'!$J$13,5,10))</f>
      </c>
      <c r="L37" s="106">
        <f>IF($E37='Auto Responses'!$L$13, 'Auto Responses'!$J$5,IF(AND($D37='Auto Responses'!$J$27,$H37=""),'Auto Responses'!$J$5,IF(AND($D37='Auto Responses'!$J$27,$H37='Auto Responses'!$J$7),1,IF(AND($D37='Auto Responses'!$J$27,$H37='Auto Responses'!$J$8),0,IF(OR(AND($F37=$G37,$H37=""),$H37='Auto Responses'!$J$7),1,0)))))</f>
      </c>
      <c r="M37" s="4">
        <f>VLOOKUP($A37,'Institution Evaluation'!$A$56:$K$345,11,0)&amp;""</f>
      </c>
      <c r="N37" s="4">
        <f>IF($J37='Auto Responses'!$J$11,1,IF(AND($J37="",$I37='Auto Responses'!$J$11),1,0))</f>
      </c>
      <c r="O37" s="106">
        <f>IF(OR($F$18='Auto Responses'!$J$4,$E37='Auto Responses'!$L$13,$F37='Auto Responses'!$J$5),'Auto Responses'!$J$5,IF($J37="",$K37,IF($J37='Auto Responses'!$J$13,5,IF($J37='Auto Responses'!$J$12,10,IF($J37='Auto Responses'!$J$11,20,0)))))</f>
      </c>
      <c r="P37" s="106">
        <f>IF(OR($O37='Auto Responses'!$J$5,$L37='Auto Responses'!$J$5),'Auto Responses'!$J$5,$O37*$L37)</f>
      </c>
      <c r="Q37" s="106">
        <f t="shared" si="1"/>
      </c>
      <c r="R37" s="106">
        <f t="shared" si="5"/>
      </c>
      <c r="S37" s="106">
        <f t="shared" si="2"/>
      </c>
      <c r="T37" s="106">
        <f t="shared" si="3"/>
      </c>
      <c r="U37" s="106">
        <f t="shared" si="6"/>
      </c>
      <c r="V37" s="106">
        <f t="shared" si="4"/>
      </c>
    </row>
    <row r="38" spans="1:22" ht="60" x14ac:dyDescent="0.2">
      <c r="A38" s="4">
        <f>Questions!$A38</f>
      </c>
      <c r="B38" s="4">
        <f t="shared" si="0"/>
      </c>
      <c r="C38" s="4">
        <f>VLOOKUP($A38,Questions!$A$3:$L$333,2,0)&amp;""</f>
      </c>
      <c r="D38" s="4">
        <f>VLOOKUP($A38,Questions!$A$3:$L$333,11,0)&amp;""</f>
      </c>
      <c r="E38" s="4">
        <f>VLOOKUP($A38,Questions!$A$3:$L$333,12,0)&amp;""</f>
      </c>
      <c r="F38" s="4">
        <f>VLOOKUP($A38,'Institution Evaluation'!$A$56:$K$345,3,0)&amp;""</f>
      </c>
      <c r="G38" s="4">
        <f>VLOOKUP($A38,'Institution Evaluation'!$A$56:$K$345,7,0)&amp;""</f>
      </c>
      <c r="H38" s="4">
        <f>VLOOKUP($A38,'Institution Evaluation'!$A$56:$K$345,8,0)&amp;""</f>
      </c>
      <c r="I38" s="4">
        <f>VLOOKUP($A38,'Institution Evaluation'!$A$56:$K$345,9,0)&amp;""</f>
      </c>
      <c r="J38" s="4">
        <f>VLOOKUP($A38,'Institution Evaluation'!$A$56:$K$345,10,0)&amp;""</f>
      </c>
      <c r="K38" s="4">
        <f>IF($I38='Auto Responses'!$J$11,20,IF($I38='Auto Responses'!$J$13,5,10))</f>
      </c>
      <c r="L38" s="106">
        <f>IF($E38='Auto Responses'!$L$13, 'Auto Responses'!$J$5,IF(AND($D38='Auto Responses'!$J$27,$H38=""),'Auto Responses'!$J$5,IF(AND($D38='Auto Responses'!$J$27,$H38='Auto Responses'!$J$7),1,IF(AND($D38='Auto Responses'!$J$27,$H38='Auto Responses'!$J$8),0,IF(OR(AND($F38=$G38,$H38=""),$H38='Auto Responses'!$J$7),1,0)))))</f>
      </c>
      <c r="M38" s="4">
        <f>VLOOKUP($A38,'Institution Evaluation'!$A$56:$K$345,11,0)&amp;""</f>
      </c>
      <c r="N38" s="4">
        <f>IF($J38='Auto Responses'!$J$11,1,IF(AND($J38="",$I38='Auto Responses'!$J$11),1,0))</f>
      </c>
      <c r="O38" s="106">
        <f>IF(OR($F$18='Auto Responses'!$J$4,$E38='Auto Responses'!$L$13,$F38='Auto Responses'!$J$5),'Auto Responses'!$J$5,IF($J38="",$K38,IF($J38='Auto Responses'!$J$13,5,IF($J38='Auto Responses'!$J$12,10,IF($J38='Auto Responses'!$J$11,20,0)))))</f>
      </c>
      <c r="P38" s="106">
        <f>IF(OR($O38='Auto Responses'!$J$5,$L38='Auto Responses'!$J$5),'Auto Responses'!$J$5,$O38*$L38)</f>
      </c>
      <c r="Q38" s="106">
        <f t="shared" si="1"/>
      </c>
      <c r="R38" s="106">
        <f t="shared" si="5"/>
      </c>
      <c r="S38" s="106">
        <f t="shared" si="2"/>
      </c>
      <c r="T38" s="106">
        <f t="shared" si="3"/>
      </c>
      <c r="U38" s="106">
        <f t="shared" si="6"/>
      </c>
      <c r="V38" s="106">
        <f t="shared" si="4"/>
      </c>
    </row>
    <row r="39" spans="1:22" ht="60" x14ac:dyDescent="0.2">
      <c r="A39" s="4">
        <f>Questions!$A39</f>
      </c>
      <c r="B39" s="4">
        <f t="shared" si="0"/>
      </c>
      <c r="C39" s="4">
        <f>VLOOKUP($A39,Questions!$A$3:$L$333,2,0)&amp;""</f>
      </c>
      <c r="D39" s="4">
        <f>VLOOKUP($A39,Questions!$A$3:$L$333,11,0)&amp;""</f>
      </c>
      <c r="E39" s="4">
        <f>VLOOKUP($A39,Questions!$A$3:$L$333,12,0)&amp;""</f>
      </c>
      <c r="F39" s="4">
        <f>VLOOKUP($A39,'Institution Evaluation'!$A$56:$K$345,3,0)&amp;""</f>
      </c>
      <c r="G39" s="4">
        <f>VLOOKUP($A39,'Institution Evaluation'!$A$56:$K$345,7,0)&amp;""</f>
      </c>
      <c r="H39" s="4">
        <f>VLOOKUP($A39,'Institution Evaluation'!$A$56:$K$345,8,0)&amp;""</f>
      </c>
      <c r="I39" s="4">
        <f>VLOOKUP($A39,'Institution Evaluation'!$A$56:$K$345,9,0)&amp;""</f>
      </c>
      <c r="J39" s="4">
        <f>VLOOKUP($A39,'Institution Evaluation'!$A$56:$K$345,10,0)&amp;""</f>
      </c>
      <c r="K39" s="4">
        <f>IF($I39='Auto Responses'!$J$11,20,IF($I39='Auto Responses'!$J$13,5,10))</f>
      </c>
      <c r="L39" s="106">
        <f>IF($E39='Auto Responses'!$L$13, 'Auto Responses'!$J$5,IF(AND($D39='Auto Responses'!$J$27,$H39=""),'Auto Responses'!$J$5,IF(AND($D39='Auto Responses'!$J$27,$H39='Auto Responses'!$J$7),1,IF(AND($D39='Auto Responses'!$J$27,$H39='Auto Responses'!$J$8),0,IF(OR(AND($F39=$G39,$H39=""),$H39='Auto Responses'!$J$7),1,0)))))</f>
      </c>
      <c r="M39" s="4">
        <f>VLOOKUP($A39,'Institution Evaluation'!$A$56:$K$345,11,0)&amp;""</f>
      </c>
      <c r="N39" s="4">
        <f>IF($J39='Auto Responses'!$J$11,1,IF(AND($J39="",$I39='Auto Responses'!$J$11),1,0))</f>
      </c>
      <c r="O39" s="106">
        <f>IF(OR($F$18='Auto Responses'!$J$4,$E39='Auto Responses'!$L$13,$F39='Auto Responses'!$J$5),'Auto Responses'!$J$5,IF($J39="",$K39,IF($J39='Auto Responses'!$J$13,5,IF($J39='Auto Responses'!$J$12,10,IF($J39='Auto Responses'!$J$11,20,0)))))</f>
      </c>
      <c r="P39" s="106">
        <f>IF(OR($O39='Auto Responses'!$J$5,$L39='Auto Responses'!$J$5),'Auto Responses'!$J$5,$O39*$L39)</f>
      </c>
      <c r="Q39" s="106">
        <f t="shared" si="1"/>
      </c>
      <c r="R39" s="106">
        <f t="shared" si="5"/>
      </c>
      <c r="S39" s="106">
        <f t="shared" si="2"/>
      </c>
      <c r="T39" s="106">
        <f t="shared" si="3"/>
      </c>
      <c r="U39" s="106">
        <f t="shared" si="6"/>
      </c>
      <c r="V39" s="106">
        <f t="shared" si="4"/>
      </c>
    </row>
    <row r="40" spans="1:22" ht="60" x14ac:dyDescent="0.2">
      <c r="A40" s="4">
        <f>Questions!$A40</f>
      </c>
      <c r="B40" s="4">
        <f t="shared" si="0"/>
      </c>
      <c r="C40" s="4">
        <f>VLOOKUP($A40,Questions!$A$3:$L$333,2,0)&amp;""</f>
      </c>
      <c r="D40" s="4">
        <f>VLOOKUP($A40,Questions!$A$3:$L$333,11,0)&amp;""</f>
      </c>
      <c r="E40" s="4">
        <f>VLOOKUP($A40,Questions!$A$3:$L$333,12,0)&amp;""</f>
      </c>
      <c r="F40" s="4">
        <f>VLOOKUP($A40,'Institution Evaluation'!$A$56:$K$345,3,0)&amp;""</f>
      </c>
      <c r="G40" s="4">
        <f>VLOOKUP($A40,'Institution Evaluation'!$A$56:$K$345,7,0)&amp;""</f>
      </c>
      <c r="H40" s="4">
        <f>VLOOKUP($A40,'Institution Evaluation'!$A$56:$K$345,8,0)&amp;""</f>
      </c>
      <c r="I40" s="4">
        <f>VLOOKUP($A40,'Institution Evaluation'!$A$56:$K$345,9,0)&amp;""</f>
      </c>
      <c r="J40" s="4">
        <f>VLOOKUP($A40,'Institution Evaluation'!$A$56:$K$345,10,0)&amp;""</f>
      </c>
      <c r="K40" s="4">
        <f>IF($I40='Auto Responses'!$J$11,20,IF($I40='Auto Responses'!$J$13,5,10))</f>
      </c>
      <c r="L40" s="106">
        <f>IF($E40='Auto Responses'!$L$13, 'Auto Responses'!$J$5,IF(AND($D40='Auto Responses'!$J$27,$H40=""),'Auto Responses'!$J$5,IF(AND($D40='Auto Responses'!$J$27,$H40='Auto Responses'!$J$7),1,IF(AND($D40='Auto Responses'!$J$27,$H40='Auto Responses'!$J$8),0,IF(OR(AND($F40=$G40,$H40=""),$H40='Auto Responses'!$J$7),1,0)))))</f>
      </c>
      <c r="M40" s="4">
        <f>VLOOKUP($A40,'Institution Evaluation'!$A$56:$K$345,11,0)&amp;""</f>
      </c>
      <c r="N40" s="4">
        <f>IF($J40='Auto Responses'!$J$11,1,IF(AND($J40="",$I40='Auto Responses'!$J$11),1,0))</f>
      </c>
      <c r="O40" s="106">
        <f>IF(OR($F$18='Auto Responses'!$J$4,$E40='Auto Responses'!$L$13,$F40='Auto Responses'!$J$5),'Auto Responses'!$J$5,IF($J40="",$K40,IF($J40='Auto Responses'!$J$13,5,IF($J40='Auto Responses'!$J$12,10,IF($J40='Auto Responses'!$J$11,20,0)))))</f>
      </c>
      <c r="P40" s="106">
        <f>IF(OR($O40='Auto Responses'!$J$5,$L40='Auto Responses'!$J$5),'Auto Responses'!$J$5,$O40*$L40)</f>
      </c>
      <c r="Q40" s="106">
        <f t="shared" si="1"/>
      </c>
      <c r="R40" s="106">
        <f t="shared" si="5"/>
      </c>
      <c r="S40" s="106">
        <f t="shared" si="2"/>
      </c>
      <c r="T40" s="106">
        <f t="shared" si="3"/>
      </c>
      <c r="U40" s="106">
        <f t="shared" si="6"/>
      </c>
      <c r="V40" s="106">
        <f t="shared" si="4"/>
      </c>
    </row>
    <row r="41" spans="1:22" ht="60" x14ac:dyDescent="0.2">
      <c r="A41" s="4">
        <f>Questions!$A41</f>
      </c>
      <c r="B41" s="4">
        <f t="shared" si="0"/>
      </c>
      <c r="C41" s="4">
        <f>VLOOKUP($A41,Questions!$A$3:$L$333,2,0)&amp;""</f>
      </c>
      <c r="D41" s="4">
        <f>VLOOKUP($A41,Questions!$A$3:$L$333,11,0)&amp;""</f>
      </c>
      <c r="E41" s="4">
        <f>VLOOKUP($A41,Questions!$A$3:$L$333,12,0)&amp;""</f>
      </c>
      <c r="F41" s="4">
        <f>VLOOKUP($A41,'Institution Evaluation'!$A$56:$K$345,3,0)&amp;""</f>
      </c>
      <c r="G41" s="4">
        <f>VLOOKUP($A41,'Institution Evaluation'!$A$56:$K$345,7,0)&amp;""</f>
      </c>
      <c r="H41" s="4">
        <f>VLOOKUP($A41,'Institution Evaluation'!$A$56:$K$345,8,0)&amp;""</f>
      </c>
      <c r="I41" s="4">
        <f>VLOOKUP($A41,'Institution Evaluation'!$A$56:$K$345,9,0)&amp;""</f>
      </c>
      <c r="J41" s="4">
        <f>VLOOKUP($A41,'Institution Evaluation'!$A$56:$K$345,10,0)&amp;""</f>
      </c>
      <c r="K41" s="4">
        <f>IF($I41='Auto Responses'!$J$11,20,IF($I41='Auto Responses'!$J$13,5,10))</f>
      </c>
      <c r="L41" s="106">
        <f>IF($E41='Auto Responses'!$L$13, 'Auto Responses'!$J$5,IF(AND($D41='Auto Responses'!$J$27,$H41=""),'Auto Responses'!$J$5,IF(AND($D41='Auto Responses'!$J$27,$H41='Auto Responses'!$J$7),1,IF(AND($D41='Auto Responses'!$J$27,$H41='Auto Responses'!$J$8),0,IF(OR(AND($F41=$G41,$H41=""),$H41='Auto Responses'!$J$7),1,0)))))</f>
      </c>
      <c r="M41" s="4">
        <f>VLOOKUP($A41,'Institution Evaluation'!$A$56:$K$345,11,0)&amp;""</f>
      </c>
      <c r="N41" s="4">
        <f>IF($J41='Auto Responses'!$J$11,1,IF(AND($J41="",$I41='Auto Responses'!$J$11),1,0))</f>
      </c>
      <c r="O41" s="106">
        <f>IF(OR($F$18='Auto Responses'!$J$4,$E41='Auto Responses'!$L$13,$F41='Auto Responses'!$J$5),'Auto Responses'!$J$5,IF($J41="",$K41,IF($J41='Auto Responses'!$J$13,5,IF($J41='Auto Responses'!$J$12,10,IF($J41='Auto Responses'!$J$11,20,0)))))</f>
      </c>
      <c r="P41" s="106">
        <f>IF(OR($O41='Auto Responses'!$J$5,$L41='Auto Responses'!$J$5),'Auto Responses'!$J$5,$O41*$L41)</f>
      </c>
      <c r="Q41" s="106">
        <f t="shared" si="1"/>
      </c>
      <c r="R41" s="106">
        <f t="shared" si="5"/>
      </c>
      <c r="S41" s="106">
        <f t="shared" si="2"/>
      </c>
      <c r="T41" s="106">
        <f t="shared" si="3"/>
      </c>
      <c r="U41" s="106">
        <f t="shared" si="6"/>
      </c>
      <c r="V41" s="106">
        <f t="shared" si="4"/>
      </c>
    </row>
    <row r="42" spans="1:22" ht="60" x14ac:dyDescent="0.2">
      <c r="A42" s="4">
        <f>Questions!$A42</f>
      </c>
      <c r="B42" s="4">
        <f t="shared" si="0"/>
      </c>
      <c r="C42" s="4">
        <f>VLOOKUP($A42,Questions!$A$3:$L$333,2,0)&amp;""</f>
      </c>
      <c r="D42" s="4"/>
      <c r="E42" s="4" t="str">
        <f>VLOOKUP($A42,Questions!$A$3:$L$333,12,0)&amp;""</f>
      </c>
      <c r="F42" s="4">
        <f>VLOOKUP($A42,'Institution Evaluation'!$A$56:$K$345,3,0)&amp;""</f>
      </c>
      <c r="G42" s="4">
        <f>VLOOKUP($A42,'Institution Evaluation'!$A$56:$K$345,7,0)&amp;""</f>
      </c>
      <c r="H42" s="4">
        <f>VLOOKUP($A42,'Institution Evaluation'!$A$56:$K$345,8,0)&amp;""</f>
      </c>
      <c r="I42" s="4">
        <f>VLOOKUP($A42,'Institution Evaluation'!$A$56:$K$345,9,0)&amp;""</f>
      </c>
      <c r="J42" s="4">
        <f>VLOOKUP($A42,'Institution Evaluation'!$A$56:$K$345,10,0)&amp;""</f>
      </c>
      <c r="K42" s="4">
        <f>IF($I42='Auto Responses'!$J$11,20,IF($I42='Auto Responses'!$J$13,5,10))</f>
      </c>
      <c r="L42" s="106">
        <f>IF($E42='Auto Responses'!$L$13, 'Auto Responses'!$J$5,IF(AND($D42='Auto Responses'!$J$27,$H42=""),'Auto Responses'!$J$5,IF(AND($D42='Auto Responses'!$J$27,$H42='Auto Responses'!$J$7),1,IF(AND($D42='Auto Responses'!$J$27,$H42='Auto Responses'!$J$8),0,IF(OR(AND($F42=$G42,$H42=""),$H42='Auto Responses'!$J$7),1,0)))))</f>
      </c>
      <c r="M42" s="4">
        <f>VLOOKUP($A42,'Institution Evaluation'!$A$56:$K$345,11,0)&amp;""</f>
      </c>
      <c r="N42" s="4">
        <f>IF($J42='Auto Responses'!$J$11,1,IF(AND($J42="",$I42='Auto Responses'!$J$11),1,0))</f>
      </c>
      <c r="O42" s="106">
        <f>IF(OR($F$18='Auto Responses'!$J$4,$E42='Auto Responses'!$L$13,$F42='Auto Responses'!$J$5),'Auto Responses'!$J$5,IF($J42="",$K42,IF($J42='Auto Responses'!$J$13,5,IF($J42='Auto Responses'!$J$12,10,IF($J42='Auto Responses'!$J$11,20,0)))))</f>
      </c>
      <c r="P42" s="106">
        <f>IF(OR($O42='Auto Responses'!$J$5,$L42='Auto Responses'!$J$5),'Auto Responses'!$J$5,$O42*$L42)</f>
      </c>
      <c r="Q42" s="106">
        <f t="shared" si="1"/>
      </c>
      <c r="R42" s="106">
        <f t="shared" si="5"/>
      </c>
      <c r="S42" s="106">
        <f t="shared" si="2"/>
      </c>
      <c r="T42" s="106">
        <f t="shared" si="3"/>
      </c>
      <c r="U42" s="106">
        <f t="shared" si="6"/>
      </c>
      <c r="V42" s="106">
        <f t="shared" si="4"/>
      </c>
    </row>
    <row r="43" spans="1:22" ht="60" x14ac:dyDescent="0.2">
      <c r="A43" s="4">
        <f>Questions!$A43</f>
      </c>
      <c r="B43" s="4">
        <f t="shared" si="0"/>
      </c>
      <c r="C43" s="4">
        <f>VLOOKUP($A43,Questions!$A$3:$L$333,2,0)&amp;""</f>
      </c>
      <c r="D43" s="4">
        <f>VLOOKUP($A43,Questions!$A$3:$L$333,11,0)&amp;""</f>
      </c>
      <c r="E43" s="4">
        <f>VLOOKUP($A43,Questions!$A$3:$L$333,12,0)&amp;""</f>
      </c>
      <c r="F43" s="4">
        <f>VLOOKUP($A43,'Institution Evaluation'!$A$56:$K$345,3,0)&amp;""</f>
      </c>
      <c r="G43" s="4">
        <f>VLOOKUP($A43,'Institution Evaluation'!$A$56:$K$345,7,0)&amp;""</f>
      </c>
      <c r="H43" s="4">
        <f>VLOOKUP($A43,'Institution Evaluation'!$A$56:$K$345,8,0)&amp;""</f>
      </c>
      <c r="I43" s="4">
        <f>VLOOKUP($A43,'Institution Evaluation'!$A$56:$K$345,9,0)&amp;""</f>
      </c>
      <c r="J43" s="4">
        <f>VLOOKUP($A43,'Institution Evaluation'!$A$56:$K$345,10,0)&amp;""</f>
      </c>
      <c r="K43" s="4">
        <f>IF($I43='Auto Responses'!$J$11,20,IF($I43='Auto Responses'!$J$13,5,10))</f>
      </c>
      <c r="L43" s="106">
        <f>IF($E43='Auto Responses'!$L$13, 'Auto Responses'!$J$5,IF(AND($D43='Auto Responses'!$J$27,$H43=""),'Auto Responses'!$J$5,IF(AND($D43='Auto Responses'!$J$27,$H43='Auto Responses'!$J$7),1,IF(AND($D43='Auto Responses'!$J$27,$H43='Auto Responses'!$J$8),0,IF(OR(AND($F43=$G43,$H43=""),$H43='Auto Responses'!$J$7),1,0)))))</f>
      </c>
      <c r="M43" s="4">
        <f>VLOOKUP($A43,'Institution Evaluation'!$A$56:$K$345,11,0)&amp;""</f>
      </c>
      <c r="N43" s="4">
        <f>IF($J43='Auto Responses'!$J$11,1,IF(AND($J43="",$I43='Auto Responses'!$J$11),1,0))</f>
      </c>
      <c r="O43" s="106">
        <f>IF(OR($F$18='Auto Responses'!$J$4,$E43='Auto Responses'!$L$13,$F43='Auto Responses'!$J$5),'Auto Responses'!$J$5,IF($J43="",$K43,IF($J43='Auto Responses'!$J$13,5,IF($J43='Auto Responses'!$J$12,10,IF($J43='Auto Responses'!$J$11,20,0)))))</f>
      </c>
      <c r="P43" s="106">
        <f>IF(OR($O43='Auto Responses'!$J$5,$L43='Auto Responses'!$J$5),'Auto Responses'!$J$5,$O43*$L43)</f>
      </c>
      <c r="Q43" s="106">
        <f t="shared" si="1"/>
      </c>
      <c r="R43" s="106">
        <f t="shared" si="5"/>
      </c>
      <c r="S43" s="106">
        <f t="shared" si="2"/>
      </c>
      <c r="T43" s="106">
        <f t="shared" si="3"/>
      </c>
      <c r="U43" s="106">
        <f t="shared" si="6"/>
      </c>
      <c r="V43" s="106">
        <f t="shared" si="4"/>
      </c>
    </row>
    <row r="44" spans="1:22" ht="60" x14ac:dyDescent="0.2">
      <c r="A44" s="4">
        <f>Questions!$A44</f>
      </c>
      <c r="B44" s="4">
        <f t="shared" si="0"/>
      </c>
      <c r="C44" s="4">
        <f>VLOOKUP($A44,Questions!$A$3:$L$333,2,0)&amp;""</f>
      </c>
      <c r="D44" s="4">
        <f>VLOOKUP($A44,Questions!$A$3:$L$333,11,0)&amp;""</f>
      </c>
      <c r="E44" s="4">
        <f>VLOOKUP($A44,Questions!$A$3:$L$333,12,0)&amp;""</f>
      </c>
      <c r="F44" s="4">
        <f>VLOOKUP($A44,'Institution Evaluation'!$A$56:$K$345,3,0)&amp;""</f>
      </c>
      <c r="G44" s="4">
        <f>VLOOKUP($A44,'Institution Evaluation'!$A$56:$K$345,7,0)&amp;""</f>
      </c>
      <c r="H44" s="4">
        <f>VLOOKUP($A44,'Institution Evaluation'!$A$56:$K$345,8,0)&amp;""</f>
      </c>
      <c r="I44" s="4">
        <f>VLOOKUP($A44,'Institution Evaluation'!$A$56:$K$345,9,0)&amp;""</f>
      </c>
      <c r="J44" s="4">
        <f>VLOOKUP($A44,'Institution Evaluation'!$A$56:$K$345,10,0)&amp;""</f>
      </c>
      <c r="K44" s="4">
        <f>IF($I44='Auto Responses'!$J$11,20,IF($I44='Auto Responses'!$J$13,5,10))</f>
      </c>
      <c r="L44" s="106">
        <f>IF($E44='Auto Responses'!$L$13, 'Auto Responses'!$J$5,IF(AND($D44='Auto Responses'!$J$27,$H44=""),'Auto Responses'!$J$5,IF(AND($D44='Auto Responses'!$J$27,$H44='Auto Responses'!$J$7),1,IF(AND($D44='Auto Responses'!$J$27,$H44='Auto Responses'!$J$8),0,IF(OR(AND($F44=$G44,$H44=""),$H44='Auto Responses'!$J$7),1,0)))))</f>
      </c>
      <c r="M44" s="4">
        <f>VLOOKUP($A44,'Institution Evaluation'!$A$56:$K$345,11,0)&amp;""</f>
      </c>
      <c r="N44" s="4">
        <f>IF($J44='Auto Responses'!$J$11,1,IF(AND($J44="",$I44='Auto Responses'!$J$11),1,0))</f>
      </c>
      <c r="O44" s="106">
        <f>IF(OR($F$18='Auto Responses'!$J$4,$E44='Auto Responses'!$L$13,$F44='Auto Responses'!$J$5),'Auto Responses'!$J$5,IF($J44="",$K44,IF($J44='Auto Responses'!$J$13,5,IF($J44='Auto Responses'!$J$12,10,IF($J44='Auto Responses'!$J$11,20,0)))))</f>
      </c>
      <c r="P44" s="106">
        <f>IF(OR($O44='Auto Responses'!$J$5,$L44='Auto Responses'!$J$5),'Auto Responses'!$J$5,$O44*$L44)</f>
      </c>
      <c r="Q44" s="106">
        <f t="shared" si="1"/>
      </c>
      <c r="R44" s="106">
        <f t="shared" si="5"/>
      </c>
      <c r="S44" s="106">
        <f t="shared" si="2"/>
      </c>
      <c r="T44" s="106">
        <f t="shared" si="3"/>
      </c>
      <c r="U44" s="106">
        <f t="shared" si="6"/>
      </c>
      <c r="V44" s="106">
        <f t="shared" si="4"/>
      </c>
    </row>
    <row r="45" spans="1:22" ht="60" x14ac:dyDescent="0.2">
      <c r="A45" s="4">
        <f>Questions!$A45</f>
      </c>
      <c r="B45" s="4">
        <f t="shared" si="0"/>
      </c>
      <c r="C45" s="4">
        <f>VLOOKUP($A45,Questions!$A$3:$L$333,2,0)&amp;""</f>
      </c>
      <c r="D45" s="4">
        <f>VLOOKUP($A45,Questions!$A$3:$L$333,11,0)&amp;""</f>
      </c>
      <c r="E45" s="4">
        <f>VLOOKUP($A45,Questions!$A$3:$L$333,12,0)&amp;""</f>
      </c>
      <c r="F45" s="4">
        <f>VLOOKUP($A45,'Institution Evaluation'!$A$56:$K$345,3,0)&amp;""</f>
      </c>
      <c r="G45" s="4">
        <f>VLOOKUP($A45,'Institution Evaluation'!$A$56:$K$345,7,0)&amp;""</f>
      </c>
      <c r="H45" s="4">
        <f>VLOOKUP($A45,'Institution Evaluation'!$A$56:$K$345,8,0)&amp;""</f>
      </c>
      <c r="I45" s="4">
        <f>VLOOKUP($A45,'Institution Evaluation'!$A$56:$K$345,9,0)&amp;""</f>
      </c>
      <c r="J45" s="4">
        <f>VLOOKUP($A45,'Institution Evaluation'!$A$56:$K$345,10,0)&amp;""</f>
      </c>
      <c r="K45" s="4">
        <f>IF($I45='Auto Responses'!$J$11,20,IF($I45='Auto Responses'!$J$13,5,10))</f>
      </c>
      <c r="L45" s="106">
        <f>IF($E45='Auto Responses'!$L$13, 'Auto Responses'!$J$5,IF(AND($D45='Auto Responses'!$J$27,$H45=""),'Auto Responses'!$J$5,IF(AND($D45='Auto Responses'!$J$27,$H45='Auto Responses'!$J$7),1,IF(AND($D45='Auto Responses'!$J$27,$H45='Auto Responses'!$J$8),0,IF(OR(AND($F45=$G45,$H45=""),$H45='Auto Responses'!$J$7),1,0)))))</f>
      </c>
      <c r="M45" s="4">
        <f>VLOOKUP($A45,'Institution Evaluation'!$A$56:$K$345,11,0)&amp;""</f>
      </c>
      <c r="N45" s="4">
        <f>IF($J45='Auto Responses'!$J$11,1,IF(AND($J45="",$I45='Auto Responses'!$J$11),1,0))</f>
      </c>
      <c r="O45" s="106">
        <f>IF(OR($F$18='Auto Responses'!$J$4,$E45='Auto Responses'!$L$13,$F45='Auto Responses'!$J$5),'Auto Responses'!$J$5,IF($J45="",$K45,IF($J45='Auto Responses'!$J$13,5,IF($J45='Auto Responses'!$J$12,10,IF($J45='Auto Responses'!$J$11,20,0)))))</f>
      </c>
      <c r="P45" s="106">
        <f>IF(OR($O45='Auto Responses'!$J$5,$L45='Auto Responses'!$J$5),'Auto Responses'!$J$5,$O45*$L45)</f>
      </c>
      <c r="Q45" s="106">
        <f t="shared" si="1"/>
      </c>
      <c r="R45" s="106">
        <f t="shared" si="5"/>
      </c>
      <c r="S45" s="106">
        <f t="shared" si="2"/>
      </c>
      <c r="T45" s="106">
        <f t="shared" si="3"/>
      </c>
      <c r="U45" s="106">
        <f t="shared" si="6"/>
      </c>
      <c r="V45" s="106">
        <f t="shared" si="4"/>
      </c>
    </row>
    <row r="46" spans="1:22" ht="60" x14ac:dyDescent="0.2">
      <c r="A46" s="4">
        <f>Questions!$A46</f>
      </c>
      <c r="B46" s="4">
        <f t="shared" si="0"/>
      </c>
      <c r="C46" s="4">
        <f>VLOOKUP($A46,Questions!$A$3:$L$333,2,0)&amp;""</f>
      </c>
      <c r="D46" s="4">
        <f>VLOOKUP($A46,Questions!$A$3:$L$333,11,0)&amp;""</f>
      </c>
      <c r="E46" s="4">
        <f>VLOOKUP($A46,Questions!$A$3:$L$333,12,0)&amp;""</f>
      </c>
      <c r="F46" s="4">
        <f>VLOOKUP($A46,'Institution Evaluation'!$A$56:$K$345,3,0)&amp;""</f>
      </c>
      <c r="G46" s="4">
        <f>VLOOKUP($A46,'Institution Evaluation'!$A$56:$K$345,7,0)&amp;""</f>
      </c>
      <c r="H46" s="4">
        <f>VLOOKUP($A46,'Institution Evaluation'!$A$56:$K$345,8,0)&amp;""</f>
      </c>
      <c r="I46" s="4">
        <f>VLOOKUP($A46,'Institution Evaluation'!$A$56:$K$345,9,0)&amp;""</f>
      </c>
      <c r="J46" s="4">
        <f>VLOOKUP($A46,'Institution Evaluation'!$A$56:$K$345,10,0)&amp;""</f>
      </c>
      <c r="K46" s="4">
        <f>IF($I46='Auto Responses'!$J$11,20,IF($I46='Auto Responses'!$J$13,5,10))</f>
      </c>
      <c r="L46" s="106">
        <f>IF($E46='Auto Responses'!$L$13, 'Auto Responses'!$J$5,IF(AND($D46='Auto Responses'!$J$27,$H46=""),'Auto Responses'!$J$5,IF(AND($D46='Auto Responses'!$J$27,$H46='Auto Responses'!$J$7),1,IF(AND($D46='Auto Responses'!$J$27,$H46='Auto Responses'!$J$8),0,IF(OR(AND($F46=$G46,$H46=""),$H46='Auto Responses'!$J$7),1,0)))))</f>
      </c>
      <c r="M46" s="4">
        <f>VLOOKUP($A46,'Institution Evaluation'!$A$56:$K$345,11,0)&amp;""</f>
      </c>
      <c r="N46" s="4">
        <f>IF($J46='Auto Responses'!$J$11,1,IF(AND($J46="",$I46='Auto Responses'!$J$11),1,0))</f>
      </c>
      <c r="O46" s="106">
        <f>IF(OR($F$18='Auto Responses'!$J$4,$E46='Auto Responses'!$L$13,$F46='Auto Responses'!$J$5),'Auto Responses'!$J$5,IF($J46="",$K46,IF($J46='Auto Responses'!$J$13,5,IF($J46='Auto Responses'!$J$12,10,IF($J46='Auto Responses'!$J$11,20,0)))))</f>
      </c>
      <c r="P46" s="106">
        <f>IF(OR($O46='Auto Responses'!$J$5,$L46='Auto Responses'!$J$5),'Auto Responses'!$J$5,$O46*$L46)</f>
      </c>
      <c r="Q46" s="106">
        <f t="shared" si="1"/>
      </c>
      <c r="R46" s="106">
        <f t="shared" si="5"/>
      </c>
      <c r="S46" s="106">
        <f t="shared" si="2"/>
      </c>
      <c r="T46" s="106">
        <f t="shared" si="3"/>
      </c>
      <c r="U46" s="106">
        <f t="shared" si="6"/>
      </c>
      <c r="V46" s="106">
        <f t="shared" si="4"/>
      </c>
    </row>
    <row r="47" spans="1:22" ht="60" x14ac:dyDescent="0.2">
      <c r="A47" s="4">
        <f>Questions!$A47</f>
      </c>
      <c r="B47" s="4">
        <f t="shared" si="0"/>
      </c>
      <c r="C47" s="4">
        <f>VLOOKUP($A47,Questions!$A$3:$L$333,2,0)&amp;""</f>
      </c>
      <c r="D47" s="4">
        <f>VLOOKUP($A47,Questions!$A$3:$L$333,11,0)&amp;""</f>
      </c>
      <c r="E47" s="4">
        <f>VLOOKUP($A47,Questions!$A$3:$L$333,12,0)&amp;""</f>
      </c>
      <c r="F47" s="4">
        <f>VLOOKUP($A47,'Institution Evaluation'!$A$56:$K$345,3,0)&amp;""</f>
      </c>
      <c r="G47" s="4">
        <f>VLOOKUP($A47,'Institution Evaluation'!$A$56:$K$345,7,0)&amp;""</f>
      </c>
      <c r="H47" s="4">
        <f>VLOOKUP($A47,'Institution Evaluation'!$A$56:$K$345,8,0)&amp;""</f>
      </c>
      <c r="I47" s="4">
        <f>VLOOKUP($A47,'Institution Evaluation'!$A$56:$K$345,9,0)&amp;""</f>
      </c>
      <c r="J47" s="4">
        <f>VLOOKUP($A47,'Institution Evaluation'!$A$56:$K$345,10,0)&amp;""</f>
      </c>
      <c r="K47" s="4">
        <f>IF($I47='Auto Responses'!$J$11,20,IF($I47='Auto Responses'!$J$13,5,10))</f>
      </c>
      <c r="L47" s="106">
        <f>IF($E47='Auto Responses'!$L$13, 'Auto Responses'!$J$5,IF(AND($D47='Auto Responses'!$J$27,$H47=""),'Auto Responses'!$J$5,IF(AND($D47='Auto Responses'!$J$27,$H47='Auto Responses'!$J$7),1,IF(AND($D47='Auto Responses'!$J$27,$H47='Auto Responses'!$J$8),0,IF(OR(AND($F47=$G47,$H47=""),$H47='Auto Responses'!$J$7),1,0)))))</f>
      </c>
      <c r="M47" s="4">
        <f>VLOOKUP($A47,'Institution Evaluation'!$A$56:$K$345,11,0)&amp;""</f>
      </c>
      <c r="N47" s="4">
        <f>IF($J47='Auto Responses'!$J$11,1,IF(AND($J47="",$I47='Auto Responses'!$J$11),1,0))</f>
      </c>
      <c r="O47" s="106">
        <f>IF(OR($F$18='Auto Responses'!$J$4,$E47='Auto Responses'!$L$13,$F47='Auto Responses'!$J$5),'Auto Responses'!$J$5,IF($J47="",$K47,IF($J47='Auto Responses'!$J$13,5,IF($J47='Auto Responses'!$J$12,10,IF($J47='Auto Responses'!$J$11,20,0)))))</f>
      </c>
      <c r="P47" s="106">
        <f>IF(OR($O47='Auto Responses'!$J$5,$L47='Auto Responses'!$J$5),'Auto Responses'!$J$5,$O47*$L47)</f>
      </c>
      <c r="Q47" s="106">
        <f t="shared" si="1"/>
      </c>
      <c r="R47" s="106">
        <f t="shared" si="5"/>
      </c>
      <c r="S47" s="106">
        <f t="shared" si="2"/>
      </c>
      <c r="T47" s="106">
        <f t="shared" si="3"/>
      </c>
      <c r="U47" s="106">
        <f t="shared" si="6"/>
      </c>
      <c r="V47" s="106">
        <f t="shared" si="4"/>
      </c>
    </row>
    <row r="48" spans="1:22" ht="60" x14ac:dyDescent="0.2">
      <c r="A48" s="4">
        <f>Questions!$A48</f>
      </c>
      <c r="B48" s="4">
        <f t="shared" si="0"/>
      </c>
      <c r="C48" s="4">
        <f>VLOOKUP($A48,Questions!$A$3:$L$333,2,0)&amp;""</f>
      </c>
      <c r="D48" s="4">
        <f>VLOOKUP($A48,Questions!$A$3:$L$333,11,0)&amp;""</f>
      </c>
      <c r="E48" s="4">
        <f>VLOOKUP($A48,Questions!$A$3:$L$333,12,0)&amp;""</f>
      </c>
      <c r="F48" s="4">
        <f>VLOOKUP($A48,'Institution Evaluation'!$A$56:$K$345,3,0)&amp;""</f>
      </c>
      <c r="G48" s="4">
        <f>VLOOKUP($A48,'Institution Evaluation'!$A$56:$K$345,7,0)&amp;""</f>
      </c>
      <c r="H48" s="4">
        <f>VLOOKUP($A48,'Institution Evaluation'!$A$56:$K$345,8,0)&amp;""</f>
      </c>
      <c r="I48" s="4">
        <f>VLOOKUP($A48,'Institution Evaluation'!$A$56:$K$345,9,0)&amp;""</f>
      </c>
      <c r="J48" s="4">
        <f>VLOOKUP($A48,'Institution Evaluation'!$A$56:$K$345,10,0)&amp;""</f>
      </c>
      <c r="K48" s="4">
        <f>IF($I48='Auto Responses'!$J$11,20,IF($I48='Auto Responses'!$J$13,5,10))</f>
      </c>
      <c r="L48" s="106">
        <f>IF($E48='Auto Responses'!$L$13, 'Auto Responses'!$J$5,IF(AND($D48='Auto Responses'!$J$27,$H48=""),'Auto Responses'!$J$5,IF(AND($D48='Auto Responses'!$J$27,$H48='Auto Responses'!$J$7),1,IF(AND($D48='Auto Responses'!$J$27,$H48='Auto Responses'!$J$8),0,IF(OR(AND($F48=$G48,$H48=""),$H48='Auto Responses'!$J$7),1,0)))))</f>
      </c>
      <c r="M48" s="4">
        <f>VLOOKUP($A48,'Institution Evaluation'!$A$56:$K$345,11,0)&amp;""</f>
      </c>
      <c r="N48" s="4">
        <f>IF($J48='Auto Responses'!$J$11,1,IF(AND($J48="",$I48='Auto Responses'!$J$11),1,0))</f>
      </c>
      <c r="O48" s="106">
        <f>IF(OR($F$18='Auto Responses'!$J$4,$E48='Auto Responses'!$L$13,$F48='Auto Responses'!$J$5),'Auto Responses'!$J$5,IF($J48="",$K48,IF($J48='Auto Responses'!$J$13,5,IF($J48='Auto Responses'!$J$12,10,IF($J48='Auto Responses'!$J$11,20,0)))))</f>
      </c>
      <c r="P48" s="106">
        <f>IF(OR($O48='Auto Responses'!$J$5,$L48='Auto Responses'!$J$5),'Auto Responses'!$J$5,$O48*$L48)</f>
      </c>
      <c r="Q48" s="106">
        <f t="shared" si="1"/>
      </c>
      <c r="R48" s="106">
        <f t="shared" si="5"/>
      </c>
      <c r="S48" s="106">
        <f t="shared" si="2"/>
      </c>
      <c r="T48" s="106">
        <f t="shared" si="3"/>
      </c>
      <c r="U48" s="106">
        <f t="shared" si="6"/>
      </c>
      <c r="V48" s="106">
        <f t="shared" si="4"/>
      </c>
    </row>
    <row r="49" spans="1:22" ht="60" x14ac:dyDescent="0.2">
      <c r="A49" s="4">
        <f>Questions!$A49</f>
      </c>
      <c r="B49" s="4">
        <f t="shared" si="0"/>
      </c>
      <c r="C49" s="4">
        <f>VLOOKUP($A49,Questions!$A$3:$L$333,2,0)&amp;""</f>
      </c>
      <c r="D49" s="4">
        <f>VLOOKUP($A49,Questions!$A$3:$L$333,11,0)&amp;""</f>
      </c>
      <c r="E49" s="4">
        <f>VLOOKUP($A49,Questions!$A$3:$L$333,12,0)&amp;""</f>
      </c>
      <c r="F49" s="4">
        <f>VLOOKUP($A49,'Institution Evaluation'!$A$56:$K$345,3,0)&amp;""</f>
      </c>
      <c r="G49" s="4">
        <f>VLOOKUP($A49,'Institution Evaluation'!$A$56:$K$345,7,0)&amp;""</f>
      </c>
      <c r="H49" s="4">
        <f>VLOOKUP($A49,'Institution Evaluation'!$A$56:$K$345,8,0)&amp;""</f>
      </c>
      <c r="I49" s="4">
        <f>VLOOKUP($A49,'Institution Evaluation'!$A$56:$K$345,9,0)&amp;""</f>
      </c>
      <c r="J49" s="4">
        <f>VLOOKUP($A49,'Institution Evaluation'!$A$56:$K$345,10,0)&amp;""</f>
      </c>
      <c r="K49" s="4">
        <f>IF($I49='Auto Responses'!$J$11,20,IF($I49='Auto Responses'!$J$13,5,10))</f>
      </c>
      <c r="L49" s="106">
        <f>IF($E49='Auto Responses'!$L$13, 'Auto Responses'!$J$5,IF(AND($D49='Auto Responses'!$J$27,$H49=""),'Auto Responses'!$J$5,IF(AND($D49='Auto Responses'!$J$27,$H49='Auto Responses'!$J$7),1,IF(AND($D49='Auto Responses'!$J$27,$H49='Auto Responses'!$J$8),0,IF(OR(AND($F49=$G49,$H49=""),$H49='Auto Responses'!$J$7),1,0)))))</f>
      </c>
      <c r="M49" s="4">
        <f>VLOOKUP($A49,'Institution Evaluation'!$A$56:$K$345,11,0)&amp;""</f>
      </c>
      <c r="N49" s="4">
        <f>IF($J49='Auto Responses'!$J$11,1,IF(AND($J49="",$I49='Auto Responses'!$J$11),1,0))</f>
      </c>
      <c r="O49" s="106">
        <f>IF(OR($F$18='Auto Responses'!$J$4,$E49='Auto Responses'!$L$13,$F49='Auto Responses'!$J$5),'Auto Responses'!$J$5,IF($J49="",$K49,IF($J49='Auto Responses'!$J$13,5,IF($J49='Auto Responses'!$J$12,10,IF($J49='Auto Responses'!$J$11,20,0)))))</f>
      </c>
      <c r="P49" s="106">
        <f>IF(OR($O49='Auto Responses'!$J$5,$L49='Auto Responses'!$J$5),'Auto Responses'!$J$5,$O49*$L49)</f>
      </c>
      <c r="Q49" s="106">
        <f t="shared" si="1"/>
      </c>
      <c r="R49" s="106">
        <f t="shared" si="5"/>
      </c>
      <c r="S49" s="106">
        <f t="shared" si="2"/>
      </c>
      <c r="T49" s="106">
        <f t="shared" si="3"/>
      </c>
      <c r="U49" s="106">
        <f t="shared" si="6"/>
      </c>
      <c r="V49" s="106">
        <f t="shared" si="4"/>
      </c>
    </row>
    <row r="50" spans="1:22" ht="60" x14ac:dyDescent="0.2">
      <c r="A50" s="4">
        <f>Questions!$A51</f>
      </c>
      <c r="B50" s="4">
        <f t="shared" si="0"/>
      </c>
      <c r="C50" s="4">
        <f>VLOOKUP($A50,Questions!$A$3:$L$333,2,0)&amp;""</f>
      </c>
      <c r="D50" s="4">
        <f>VLOOKUP($A50,Questions!$A$3:$L$333,11,0)&amp;""</f>
      </c>
      <c r="E50" s="4">
        <f>VLOOKUP($A50,Questions!$A$3:$L$333,12,0)&amp;""</f>
      </c>
      <c r="F50" s="4">
        <f>VLOOKUP($A50,'Institution Evaluation'!$A$56:$K$345,3,0)&amp;""</f>
      </c>
      <c r="G50" s="4">
        <f>VLOOKUP($A50,'Institution Evaluation'!$A$56:$K$345,7,0)&amp;""</f>
      </c>
      <c r="H50" s="4">
        <f>VLOOKUP($A50,'Institution Evaluation'!$A$56:$K$345,8,0)&amp;""</f>
      </c>
      <c r="I50" s="4">
        <f>VLOOKUP($A50,'Institution Evaluation'!$A$56:$K$345,9,0)&amp;""</f>
      </c>
      <c r="J50" s="4">
        <f>VLOOKUP($A50,'Institution Evaluation'!$A$56:$K$345,10,0)&amp;""</f>
      </c>
      <c r="K50" s="4">
        <f>IF($I50='Auto Responses'!$J$11,20,IF($I50='Auto Responses'!$J$13,5,10))</f>
      </c>
      <c r="L50" s="106">
        <f>IF($E50='Auto Responses'!$L$13, 'Auto Responses'!$J$5,IF(AND($D50='Auto Responses'!$J$27,$H50=""),'Auto Responses'!$J$5,IF(AND($D50='Auto Responses'!$J$27,$H50='Auto Responses'!$J$7),1,IF(AND($D50='Auto Responses'!$J$27,$H50='Auto Responses'!$J$8),0,IF(OR(AND($F50=$G50,$H50=""),$H50='Auto Responses'!$J$7),1,0)))))</f>
      </c>
      <c r="M50" s="4">
        <f>VLOOKUP($A50,'Institution Evaluation'!$A$56:$K$345,11,0)&amp;""</f>
      </c>
      <c r="N50" s="4">
        <f>IF($J50='Auto Responses'!$J$11,1,IF(AND($J50="",$I50='Auto Responses'!$J$11),1,0))</f>
      </c>
      <c r="O50" s="106">
        <f>IF(OR($E50='Auto Responses'!$L$13,$F50='Auto Responses'!$J$5),'Auto Responses'!$J$5,IF($J50="",$K50,IF($J50='Auto Responses'!$J$13,5,IF($J50='Auto Responses'!$J$12,10,IF($J50='Auto Responses'!$J$11,20,0)))))</f>
      </c>
      <c r="P50" s="106">
        <f>IF(OR($O50='Auto Responses'!$J$5,$L50='Auto Responses'!$J$5),'Auto Responses'!$J$5,$O50*$L50)</f>
      </c>
      <c r="Q50" s="106">
        <f t="shared" si="1"/>
      </c>
      <c r="R50" s="106">
        <f t="shared" si="5"/>
      </c>
      <c r="S50" s="106">
        <f t="shared" si="2"/>
      </c>
      <c r="T50" s="106">
        <f t="shared" si="3"/>
      </c>
      <c r="U50" s="106">
        <f t="shared" si="6"/>
      </c>
      <c r="V50" s="106">
        <f t="shared" si="4"/>
      </c>
    </row>
    <row r="51" spans="1:22" ht="60" x14ac:dyDescent="0.2">
      <c r="A51" s="4">
        <f>Questions!$A50</f>
      </c>
      <c r="B51" s="4">
        <f t="shared" si="0"/>
      </c>
      <c r="C51" s="4">
        <f>VLOOKUP($A51,Questions!$A$3:$L$333,2,0)&amp;""</f>
      </c>
      <c r="D51" s="4">
        <f>VLOOKUP($A51,Questions!$A$3:$L$333,11,0)&amp;""</f>
      </c>
      <c r="E51" s="4">
        <f>VLOOKUP($A51,Questions!$A$3:$L$333,12,0)&amp;""</f>
      </c>
      <c r="F51" s="4">
        <f>VLOOKUP($A51,'Institution Evaluation'!$A$56:$K$345,3,0)&amp;""</f>
      </c>
      <c r="G51" s="4">
        <f>VLOOKUP($A51,'Institution Evaluation'!$A$56:$K$345,7,0)&amp;""</f>
      </c>
      <c r="H51" s="4">
        <f>VLOOKUP($A51,'Institution Evaluation'!$A$56:$K$345,8,0)&amp;""</f>
      </c>
      <c r="I51" s="4">
        <f>VLOOKUP($A51,'Institution Evaluation'!$A$56:$K$345,9,0)&amp;""</f>
      </c>
      <c r="J51" s="4">
        <f>VLOOKUP($A51,'Institution Evaluation'!$A$56:$K$345,10,0)&amp;""</f>
      </c>
      <c r="K51" s="4">
        <f>IF($I51='Auto Responses'!$J$11,20,IF($I51='Auto Responses'!$J$13,5,10))</f>
      </c>
      <c r="L51" s="106">
        <f>IF($E51='Auto Responses'!$L$13, 'Auto Responses'!$J$5,IF(AND($D51='Auto Responses'!$J$27,$H51=""),'Auto Responses'!$J$5,IF(AND($D51='Auto Responses'!$J$27,$H51='Auto Responses'!$J$7),1,IF(AND($D51='Auto Responses'!$J$27,$H51='Auto Responses'!$J$8),0,IF(OR(AND($F51=$G51,$H51=""),$H51='Auto Responses'!$J$7),1,0)))))</f>
      </c>
      <c r="M51" s="4">
        <f>VLOOKUP($A51,'Institution Evaluation'!$A$56:$K$345,11,0)&amp;""</f>
      </c>
      <c r="N51" s="4">
        <f>IF($J51='Auto Responses'!$J$11,1,IF(AND($J51="",$I51='Auto Responses'!$J$11),1,0))</f>
      </c>
      <c r="O51" s="106">
        <f>IF(OR($E51='Auto Responses'!$L$13,$F51='Auto Responses'!$J$5),'Auto Responses'!$J$5,IF($J51="",$K51,IF($J51='Auto Responses'!$J$13,5,IF($J51='Auto Responses'!$J$12,10,IF($J51='Auto Responses'!$J$11,20,0)))))</f>
      </c>
      <c r="P51" s="106">
        <f>IF(OR($O51='Auto Responses'!$J$5,$L51='Auto Responses'!$J$5),'Auto Responses'!$J$5,$O51*$L51)</f>
      </c>
      <c r="Q51" s="106">
        <f t="shared" si="1"/>
      </c>
      <c r="R51" s="106">
        <f t="shared" si="5"/>
      </c>
      <c r="S51" s="106">
        <f t="shared" si="2"/>
      </c>
      <c r="T51" s="106">
        <f t="shared" si="3"/>
      </c>
      <c r="U51" s="106">
        <f t="shared" si="6"/>
      </c>
      <c r="V51" s="106">
        <f t="shared" si="4"/>
      </c>
    </row>
    <row r="52" spans="1:22" ht="60" x14ac:dyDescent="0.2">
      <c r="A52" s="4">
        <f>Questions!$A52</f>
      </c>
      <c r="B52" s="4">
        <f t="shared" si="0"/>
      </c>
      <c r="C52" s="4">
        <f>VLOOKUP($A52,Questions!$A$3:$L$333,2,0)&amp;""</f>
      </c>
      <c r="D52" s="4">
        <f>VLOOKUP($A52,Questions!$A$3:$L$333,11,0)&amp;""</f>
      </c>
      <c r="E52" s="4">
        <f>VLOOKUP($A52,Questions!$A$3:$L$333,12,0)&amp;""</f>
      </c>
      <c r="F52" s="4">
        <f>VLOOKUP($A52,'Institution Evaluation'!$A$56:$K$345,3,0)&amp;""</f>
      </c>
      <c r="G52" s="4">
        <f>VLOOKUP($A52,'Institution Evaluation'!$A$56:$K$345,7,0)&amp;""</f>
      </c>
      <c r="H52" s="4">
        <f>VLOOKUP($A52,'Institution Evaluation'!$A$56:$K$345,8,0)&amp;""</f>
      </c>
      <c r="I52" s="4">
        <f>VLOOKUP($A52,'Institution Evaluation'!$A$56:$K$345,9,0)&amp;""</f>
      </c>
      <c r="J52" s="4">
        <f>VLOOKUP($A52,'Institution Evaluation'!$A$56:$K$345,10,0)&amp;""</f>
      </c>
      <c r="K52" s="4">
        <f>IF($I52='Auto Responses'!$J$11,20,IF($I52='Auto Responses'!$J$13,5,10))</f>
      </c>
      <c r="L52" s="106">
        <f>IF($E52='Auto Responses'!$L$13, 'Auto Responses'!$J$5,IF(AND($D52='Auto Responses'!$J$27,$H52=""),'Auto Responses'!$J$5,IF(AND($D52='Auto Responses'!$J$27,$H52='Auto Responses'!$J$7),1,IF(AND($D52='Auto Responses'!$J$27,$H52='Auto Responses'!$J$8),0,IF(OR(AND($F52=$G52,$H52=""),$H52='Auto Responses'!$J$7),1,0)))))</f>
      </c>
      <c r="M52" s="4">
        <f>VLOOKUP($A52,'Institution Evaluation'!$A$56:$K$345,11,0)&amp;""</f>
      </c>
      <c r="N52" s="4">
        <f>IF($J52='Auto Responses'!$J$11,1,IF(AND($J52="",$I52='Auto Responses'!$J$11),1,0))</f>
      </c>
      <c r="O52" s="106">
        <f>IF(OR($E52='Auto Responses'!$L$13,$F52='Auto Responses'!$J$5),'Auto Responses'!$J$5,IF($J52="",$K52,IF($J52='Auto Responses'!$J$13,5,IF($J52='Auto Responses'!$J$12,10,IF($J52='Auto Responses'!$J$11,20,0)))))</f>
      </c>
      <c r="P52" s="106">
        <f>IF(OR($O52='Auto Responses'!$J$5,$L52='Auto Responses'!$J$5),'Auto Responses'!$J$5,$O52*$L52)</f>
      </c>
      <c r="Q52" s="106">
        <f t="shared" si="1"/>
      </c>
      <c r="R52" s="106">
        <f t="shared" si="5"/>
      </c>
      <c r="S52" s="106">
        <f t="shared" si="2"/>
      </c>
      <c r="T52" s="106">
        <f t="shared" si="3"/>
      </c>
      <c r="U52" s="106">
        <f t="shared" si="6"/>
      </c>
      <c r="V52" s="106">
        <f t="shared" si="4"/>
      </c>
    </row>
    <row r="53" spans="1:22" ht="60" x14ac:dyDescent="0.2">
      <c r="A53" s="4">
        <f>Questions!$A53</f>
      </c>
      <c r="B53" s="4">
        <f t="shared" si="0"/>
      </c>
      <c r="C53" s="4">
        <f>VLOOKUP($A53,Questions!$A$3:$L$333,2,0)&amp;""</f>
      </c>
      <c r="D53" s="4">
        <f>VLOOKUP($A53,Questions!$A$3:$L$333,11,0)&amp;""</f>
      </c>
      <c r="E53" s="4">
        <f>VLOOKUP($A53,Questions!$A$3:$L$333,12,0)&amp;""</f>
      </c>
      <c r="F53" s="4">
        <f>VLOOKUP($A53,'Institution Evaluation'!$A$56:$K$345,3,0)&amp;""</f>
      </c>
      <c r="G53" s="4">
        <f>VLOOKUP($A53,'Institution Evaluation'!$A$56:$K$345,7,0)&amp;""</f>
      </c>
      <c r="H53" s="4">
        <f>VLOOKUP($A53,'Institution Evaluation'!$A$56:$K$345,8,0)&amp;""</f>
      </c>
      <c r="I53" s="4">
        <f>VLOOKUP($A53,'Institution Evaluation'!$A$56:$K$345,9,0)&amp;""</f>
      </c>
      <c r="J53" s="4">
        <f>VLOOKUP($A53,'Institution Evaluation'!$A$56:$K$345,10,0)&amp;""</f>
      </c>
      <c r="K53" s="4">
        <f>IF($I53='Auto Responses'!$J$11,20,IF($I53='Auto Responses'!$J$13,5,10))</f>
      </c>
      <c r="L53" s="106">
        <f>IF($E53='Auto Responses'!$L$13, 'Auto Responses'!$J$5,IF(AND($D53='Auto Responses'!$J$27,$H53=""),'Auto Responses'!$J$5,IF(AND($D53='Auto Responses'!$J$27,$H53='Auto Responses'!$J$7),1,IF(AND($D53='Auto Responses'!$J$27,$H53='Auto Responses'!$J$8),0,IF(OR(AND($F53=$G53,$H53=""),$H53='Auto Responses'!$J$7),1,0)))))</f>
      </c>
      <c r="M53" s="4">
        <f>VLOOKUP($A53,'Institution Evaluation'!$A$56:$K$345,11,0)&amp;""</f>
      </c>
      <c r="N53" s="4">
        <f>IF($J53='Auto Responses'!$J$11,1,IF(AND($J53="",$I53='Auto Responses'!$J$11),1,0))</f>
      </c>
      <c r="O53" s="106">
        <f>IF(OR($E53='Auto Responses'!$L$13,$F53='Auto Responses'!$J$5),'Auto Responses'!$J$5,IF($J53="",$K53,IF($J53='Auto Responses'!$J$13,5,IF($J53='Auto Responses'!$J$12,10,IF($J53='Auto Responses'!$J$11,20,0)))))</f>
      </c>
      <c r="P53" s="106">
        <f>IF(OR($O53='Auto Responses'!$J$5,$L53='Auto Responses'!$J$5),'Auto Responses'!$J$5,$O53*$L53)</f>
      </c>
      <c r="Q53" s="106">
        <f t="shared" si="1"/>
      </c>
      <c r="R53" s="106">
        <f t="shared" si="5"/>
      </c>
      <c r="S53" s="106">
        <f t="shared" si="2"/>
      </c>
      <c r="T53" s="106">
        <f t="shared" si="3"/>
      </c>
      <c r="U53" s="106">
        <f t="shared" si="6"/>
      </c>
      <c r="V53" s="106">
        <f t="shared" si="4"/>
      </c>
    </row>
    <row r="54" spans="1:22" ht="60" x14ac:dyDescent="0.2">
      <c r="A54" s="4">
        <f>Questions!$A54</f>
      </c>
      <c r="B54" s="4">
        <f t="shared" si="0"/>
      </c>
      <c r="C54" s="4">
        <f>VLOOKUP($A54,Questions!$A$3:$L$333,2,0)&amp;""</f>
      </c>
      <c r="D54" s="4">
        <f>VLOOKUP($A54,Questions!$A$3:$L$333,11,0)&amp;""</f>
      </c>
      <c r="E54" s="4">
        <f>VLOOKUP($A54,Questions!$A$3:$L$333,12,0)&amp;""</f>
      </c>
      <c r="F54" s="4">
        <f>VLOOKUP($A54,'Institution Evaluation'!$A$56:$K$345,3,0)&amp;""</f>
      </c>
      <c r="G54" s="4">
        <f>VLOOKUP($A54,'Institution Evaluation'!$A$56:$K$345,7,0)&amp;""</f>
      </c>
      <c r="H54" s="4">
        <f>VLOOKUP($A54,'Institution Evaluation'!$A$56:$K$345,8,0)&amp;""</f>
      </c>
      <c r="I54" s="4">
        <f>VLOOKUP($A54,'Institution Evaluation'!$A$56:$K$345,9,0)&amp;""</f>
      </c>
      <c r="J54" s="4">
        <f>VLOOKUP($A54,'Institution Evaluation'!$A$56:$K$345,10,0)&amp;""</f>
      </c>
      <c r="K54" s="4">
        <f>IF($I54='Auto Responses'!$J$11,20,IF($I54='Auto Responses'!$J$13,5,10))</f>
      </c>
      <c r="L54" s="106">
        <f>IF($E54='Auto Responses'!$L$13, 'Auto Responses'!$J$5,IF(AND($D54='Auto Responses'!$J$27,$H54=""),'Auto Responses'!$J$5,IF(AND($D54='Auto Responses'!$J$27,$H54='Auto Responses'!$J$7),1,IF(AND($D54='Auto Responses'!$J$27,$H54='Auto Responses'!$J$8),0,IF(OR(AND($F54=$G54,$H54=""),$H54='Auto Responses'!$J$7),1,0)))))</f>
      </c>
      <c r="M54" s="4">
        <f>VLOOKUP($A54,'Institution Evaluation'!$A$56:$K$345,11,0)&amp;""</f>
      </c>
      <c r="N54" s="4">
        <f>IF($J54='Auto Responses'!$J$11,1,IF(AND($J54="",$I54='Auto Responses'!$J$11),1,0))</f>
      </c>
      <c r="O54" s="106">
        <f>IF(OR($E54='Auto Responses'!$L$13,$F54='Auto Responses'!$J$5),'Auto Responses'!$J$5,IF($J54="",$K54,IF($J54='Auto Responses'!$J$13,5,IF($J54='Auto Responses'!$J$12,10,IF($J54='Auto Responses'!$J$11,20,0)))))</f>
      </c>
      <c r="P54" s="106">
        <f>IF(OR($O54='Auto Responses'!$J$5,$L54='Auto Responses'!$J$5),'Auto Responses'!$J$5,$O54*$L54)</f>
      </c>
      <c r="Q54" s="106">
        <f t="shared" si="1"/>
      </c>
      <c r="R54" s="106">
        <f t="shared" si="5"/>
      </c>
      <c r="S54" s="106">
        <f t="shared" si="2"/>
      </c>
      <c r="T54" s="106">
        <f t="shared" si="3"/>
      </c>
      <c r="U54" s="106">
        <f t="shared" si="6"/>
      </c>
      <c r="V54" s="106">
        <f t="shared" si="4"/>
      </c>
    </row>
    <row r="55" spans="1:22" ht="60" x14ac:dyDescent="0.2">
      <c r="A55" s="4">
        <f>Questions!$A55</f>
      </c>
      <c r="B55" s="4">
        <f t="shared" si="0"/>
      </c>
      <c r="C55" s="4">
        <f>VLOOKUP($A55,Questions!$A$3:$L$333,2,0)&amp;""</f>
      </c>
      <c r="D55" s="4">
        <f>VLOOKUP($A55,Questions!$A$3:$L$333,11,0)&amp;""</f>
      </c>
      <c r="E55" s="4">
        <f>VLOOKUP($A55,Questions!$A$3:$L$333,12,0)&amp;""</f>
      </c>
      <c r="F55" s="4">
        <f>VLOOKUP($A55,'Institution Evaluation'!$A$56:$K$345,3,0)&amp;""</f>
      </c>
      <c r="G55" s="4">
        <f>VLOOKUP($A55,'Institution Evaluation'!$A$56:$K$345,7,0)&amp;""</f>
      </c>
      <c r="H55" s="4">
        <f>VLOOKUP($A55,'Institution Evaluation'!$A$56:$K$345,8,0)&amp;""</f>
      </c>
      <c r="I55" s="4">
        <f>VLOOKUP($A55,'Institution Evaluation'!$A$56:$K$345,9,0)&amp;""</f>
      </c>
      <c r="J55" s="4">
        <f>VLOOKUP($A55,'Institution Evaluation'!$A$56:$K$345,10,0)&amp;""</f>
      </c>
      <c r="K55" s="4">
        <f>IF($I55='Auto Responses'!$J$11,20,IF($I55='Auto Responses'!$J$13,5,10))</f>
      </c>
      <c r="L55" s="106">
        <f>IF($E55='Auto Responses'!$L$13, 'Auto Responses'!$J$5,IF(AND($D55='Auto Responses'!$J$27,$H55=""),'Auto Responses'!$J$5,IF(AND($D55='Auto Responses'!$J$27,$H55='Auto Responses'!$J$7),1,IF(AND($D55='Auto Responses'!$J$27,$H55='Auto Responses'!$J$8),0,IF(OR(AND($F55=$G55,$H55=""),$H55='Auto Responses'!$J$7),1,0)))))</f>
      </c>
      <c r="M55" s="4">
        <f>VLOOKUP($A55,'Institution Evaluation'!$A$56:$K$345,11,0)&amp;""</f>
      </c>
      <c r="N55" s="4">
        <f>IF($J55='Auto Responses'!$J$11,1,IF(AND($J55="",$I55='Auto Responses'!$J$11),1,0))</f>
      </c>
      <c r="O55" s="106">
        <f>IF(OR($F$19='Auto Responses'!$J$4,$E55='Auto Responses'!$L$13,$F55='Auto Responses'!$J$5),'Auto Responses'!$J$5,IF($J55="",$K55,IF($J55='Auto Responses'!$J$13,5,IF($J55='Auto Responses'!$J$12,10,IF($J55='Auto Responses'!$J$11,20,0)))))</f>
      </c>
      <c r="P55" s="106">
        <f>IF(OR($O55='Auto Responses'!$J$5,$L55='Auto Responses'!$J$5),'Auto Responses'!$J$5,$O55*$L55)</f>
      </c>
      <c r="Q55" s="106">
        <f t="shared" si="1"/>
      </c>
      <c r="R55" s="106">
        <f t="shared" si="5"/>
      </c>
      <c r="S55" s="106">
        <f t="shared" si="2"/>
      </c>
      <c r="T55" s="106">
        <f t="shared" si="3"/>
      </c>
      <c r="U55" s="106">
        <f t="shared" si="6"/>
      </c>
      <c r="V55" s="106">
        <f t="shared" si="4"/>
      </c>
    </row>
    <row r="56" spans="1:22" ht="60" x14ac:dyDescent="0.2">
      <c r="A56" s="4">
        <f>Questions!$A56</f>
      </c>
      <c r="B56" s="4">
        <f t="shared" si="0"/>
      </c>
      <c r="C56" s="4">
        <f>VLOOKUP($A56,Questions!$A$3:$L$333,2,0)&amp;""</f>
      </c>
      <c r="D56" s="4">
        <f>VLOOKUP($A56,Questions!$A$3:$L$333,11,0)&amp;""</f>
      </c>
      <c r="E56" s="4">
        <f>VLOOKUP($A56,Questions!$A$3:$L$333,12,0)&amp;""</f>
      </c>
      <c r="F56" s="4">
        <f>VLOOKUP($A56,'Institution Evaluation'!$A$56:$K$345,3,0)&amp;""</f>
      </c>
      <c r="G56" s="4">
        <f>VLOOKUP($A56,'Institution Evaluation'!$A$56:$K$345,7,0)&amp;""</f>
      </c>
      <c r="H56" s="4">
        <f>VLOOKUP($A56,'Institution Evaluation'!$A$56:$K$345,8,0)&amp;""</f>
      </c>
      <c r="I56" s="4">
        <f>VLOOKUP($A56,'Institution Evaluation'!$A$56:$K$345,9,0)&amp;""</f>
      </c>
      <c r="J56" s="4">
        <f>VLOOKUP($A56,'Institution Evaluation'!$A$56:$K$345,10,0)&amp;""</f>
      </c>
      <c r="K56" s="4">
        <f>IF($I56='Auto Responses'!$J$11,20,IF($I56='Auto Responses'!$J$13,5,10))</f>
      </c>
      <c r="L56" s="106">
        <f>IF($E56='Auto Responses'!$L$13, 'Auto Responses'!$J$5,IF(AND($D56='Auto Responses'!$J$27,$H56=""),'Auto Responses'!$J$5,IF(AND($D56='Auto Responses'!$J$27,$H56='Auto Responses'!$J$7),1,IF(AND($D56='Auto Responses'!$J$27,$H56='Auto Responses'!$J$8),0,IF(OR(AND($F56=$G56,$H56=""),$H56='Auto Responses'!$J$7),1,0)))))</f>
      </c>
      <c r="M56" s="4">
        <f>VLOOKUP($A56,'Institution Evaluation'!$A$56:$K$345,11,0)&amp;""</f>
      </c>
      <c r="N56" s="4">
        <f>IF($J56='Auto Responses'!$J$11,1,IF(AND($J56="",$I56='Auto Responses'!$J$11),1,0))</f>
      </c>
      <c r="O56" s="106">
        <f>IF(OR($F$19='Auto Responses'!$J$4,$E56='Auto Responses'!$L$13,$F56='Auto Responses'!$J$5),'Auto Responses'!$J$5,IF($J56="",$K56,IF($J56='Auto Responses'!$J$13,5,IF($J56='Auto Responses'!$J$12,10,IF($J56='Auto Responses'!$J$11,20,0)))))</f>
      </c>
      <c r="P56" s="106">
        <f>IF(OR($O56='Auto Responses'!$J$5,$L56='Auto Responses'!$J$5),'Auto Responses'!$J$5,$O56*$L56)</f>
      </c>
      <c r="Q56" s="106">
        <f t="shared" si="1"/>
      </c>
      <c r="R56" s="106">
        <f t="shared" si="5"/>
      </c>
      <c r="S56" s="106">
        <f t="shared" si="2"/>
      </c>
      <c r="T56" s="106">
        <f t="shared" si="3"/>
      </c>
      <c r="U56" s="106">
        <f t="shared" si="6"/>
      </c>
      <c r="V56" s="106">
        <f t="shared" si="4"/>
      </c>
    </row>
    <row r="57" spans="1:22" ht="60" x14ac:dyDescent="0.2">
      <c r="A57" s="4">
        <f>Questions!$A57</f>
      </c>
      <c r="B57" s="4">
        <f t="shared" si="0"/>
      </c>
      <c r="C57" s="4">
        <f>VLOOKUP($A57,Questions!$A$3:$L$333,2,0)&amp;""</f>
      </c>
      <c r="D57" s="4">
        <f>VLOOKUP($A57,Questions!$A$3:$L$333,11,0)&amp;""</f>
      </c>
      <c r="E57" s="4">
        <f>VLOOKUP($A57,Questions!$A$3:$L$333,12,0)&amp;""</f>
      </c>
      <c r="F57" s="4">
        <f>VLOOKUP($A57,'Institution Evaluation'!$A$56:$K$345,3,0)&amp;""</f>
      </c>
      <c r="G57" s="4">
        <f>VLOOKUP($A57,'Institution Evaluation'!$A$56:$K$345,7,0)&amp;""</f>
      </c>
      <c r="H57" s="4">
        <f>VLOOKUP($A57,'Institution Evaluation'!$A$56:$K$345,8,0)&amp;""</f>
      </c>
      <c r="I57" s="4">
        <f>VLOOKUP($A57,'Institution Evaluation'!$A$56:$K$345,9,0)&amp;""</f>
      </c>
      <c r="J57" s="4">
        <f>VLOOKUP($A57,'Institution Evaluation'!$A$56:$K$345,10,0)&amp;""</f>
      </c>
      <c r="K57" s="4">
        <f>IF($I57='Auto Responses'!$J$11,20,IF($I57='Auto Responses'!$J$13,5,10))</f>
      </c>
      <c r="L57" s="106">
        <f>IF($E57='Auto Responses'!$L$13, 'Auto Responses'!$J$5,IF(AND($D57='Auto Responses'!$J$27,$H57=""),'Auto Responses'!$J$5,IF(AND($D57='Auto Responses'!$J$27,$H57='Auto Responses'!$J$7),1,IF(AND($D57='Auto Responses'!$J$27,$H57='Auto Responses'!$J$8),0,IF(OR(AND($F57=$G57,$H57=""),$H57='Auto Responses'!$J$7),1,0)))))</f>
      </c>
      <c r="M57" s="4">
        <f>VLOOKUP($A57,'Institution Evaluation'!$A$56:$K$345,11,0)&amp;""</f>
      </c>
      <c r="N57" s="4">
        <f>IF($J57='Auto Responses'!$J$11,1,IF(AND($J57="",$I57='Auto Responses'!$J$11),1,0))</f>
      </c>
      <c r="O57" s="106">
        <f>IF(OR($F$19='Auto Responses'!$J$4,$E57='Auto Responses'!$L$13,$F57='Auto Responses'!$J$5),'Auto Responses'!$J$5,IF($J57="",$K57,IF($J57='Auto Responses'!$J$13,5,IF($J57='Auto Responses'!$J$12,10,IF($J57='Auto Responses'!$J$11,20,0)))))</f>
      </c>
      <c r="P57" s="106">
        <f>IF(OR($O57='Auto Responses'!$J$5,$L57='Auto Responses'!$J$5),'Auto Responses'!$J$5,$O57*$L57)</f>
      </c>
      <c r="Q57" s="106">
        <f t="shared" si="1"/>
      </c>
      <c r="R57" s="106">
        <f t="shared" si="5"/>
      </c>
      <c r="S57" s="106">
        <f t="shared" si="2"/>
      </c>
      <c r="T57" s="106">
        <f t="shared" si="3"/>
      </c>
      <c r="U57" s="106">
        <f t="shared" si="6"/>
      </c>
      <c r="V57" s="106">
        <f t="shared" si="4"/>
      </c>
    </row>
    <row r="58" spans="1:22" ht="60" x14ac:dyDescent="0.2">
      <c r="A58" s="4">
        <f>Questions!$A58</f>
      </c>
      <c r="B58" s="4">
        <f t="shared" si="0"/>
      </c>
      <c r="C58" s="4">
        <f>VLOOKUP($A58,Questions!$A$3:$L$333,2,0)&amp;""</f>
      </c>
      <c r="D58" s="4">
        <f>VLOOKUP($A58,Questions!$A$3:$L$333,11,0)&amp;""</f>
      </c>
      <c r="E58" s="4">
        <f>VLOOKUP($A58,Questions!$A$3:$L$333,12,0)&amp;""</f>
      </c>
      <c r="F58" s="4">
        <f>VLOOKUP($A58,'Institution Evaluation'!$A$56:$K$345,3,0)&amp;""</f>
      </c>
      <c r="G58" s="4">
        <f>VLOOKUP($A58,'Institution Evaluation'!$A$56:$K$345,7,0)&amp;""</f>
      </c>
      <c r="H58" s="4">
        <f>VLOOKUP($A58,'Institution Evaluation'!$A$56:$K$345,8,0)&amp;""</f>
      </c>
      <c r="I58" s="4">
        <f>VLOOKUP($A58,'Institution Evaluation'!$A$56:$K$345,9,0)&amp;""</f>
      </c>
      <c r="J58" s="4">
        <f>VLOOKUP($A58,'Institution Evaluation'!$A$56:$K$345,10,0)&amp;""</f>
      </c>
      <c r="K58" s="4">
        <f>IF($I58='Auto Responses'!$J$11,20,IF($I58='Auto Responses'!$J$13,5,10))</f>
      </c>
      <c r="L58" s="106">
        <f>IF($E58='Auto Responses'!$L$13, 'Auto Responses'!$J$5,IF(AND($D58='Auto Responses'!$J$27,$H58=""),'Auto Responses'!$J$5,IF(AND($D58='Auto Responses'!$J$27,$H58='Auto Responses'!$J$7),1,IF(AND($D58='Auto Responses'!$J$27,$H58='Auto Responses'!$J$8),0,IF(OR(AND($F58=$G58,$H58=""),$H58='Auto Responses'!$J$7),1,0)))))</f>
      </c>
      <c r="M58" s="4">
        <f>VLOOKUP($A58,'Institution Evaluation'!$A$56:$K$345,11,0)&amp;""</f>
      </c>
      <c r="N58" s="4">
        <f>IF($J58='Auto Responses'!$J$11,1,IF(AND($J58="",$I58='Auto Responses'!$J$11),1,0))</f>
      </c>
      <c r="O58" s="106">
        <f>IF(OR($F$19='Auto Responses'!$J$4,$E58='Auto Responses'!$L$13,$F58='Auto Responses'!$J$5),'Auto Responses'!$J$5,IF($J58="",$K58,IF($J58='Auto Responses'!$J$13,5,IF($J58='Auto Responses'!$J$12,10,IF($J58='Auto Responses'!$J$11,20,0)))))</f>
      </c>
      <c r="P58" s="106">
        <f>IF(OR($O58='Auto Responses'!$J$5,$L58='Auto Responses'!$J$5),'Auto Responses'!$J$5,$O58*$L58)</f>
      </c>
      <c r="Q58" s="106">
        <f t="shared" si="1"/>
      </c>
      <c r="R58" s="106">
        <f t="shared" si="5"/>
      </c>
      <c r="S58" s="106">
        <f t="shared" si="2"/>
      </c>
      <c r="T58" s="106">
        <f t="shared" si="3"/>
      </c>
      <c r="U58" s="106">
        <f t="shared" si="6"/>
      </c>
      <c r="V58" s="106">
        <f t="shared" si="4"/>
      </c>
    </row>
    <row r="59" spans="1:22" ht="60" x14ac:dyDescent="0.2">
      <c r="A59" s="4">
        <f>Questions!$A59</f>
      </c>
      <c r="B59" s="4">
        <f t="shared" si="0"/>
      </c>
      <c r="C59" s="4">
        <f>VLOOKUP($A59,Questions!$A$3:$L$333,2,0)&amp;""</f>
      </c>
      <c r="D59" s="4">
        <f>VLOOKUP($A59,Questions!$A$3:$L$333,11,0)&amp;""</f>
      </c>
      <c r="E59" s="4">
        <f>VLOOKUP($A59,Questions!$A$3:$L$333,12,0)&amp;""</f>
      </c>
      <c r="F59" s="4">
        <f>VLOOKUP($A59,'Institution Evaluation'!$A$56:$K$345,3,0)&amp;""</f>
      </c>
      <c r="G59" s="4">
        <f>VLOOKUP($A59,'Institution Evaluation'!$A$56:$K$345,7,0)&amp;""</f>
      </c>
      <c r="H59" s="4">
        <f>VLOOKUP($A59,'Institution Evaluation'!$A$56:$K$345,8,0)&amp;""</f>
      </c>
      <c r="I59" s="4">
        <f>VLOOKUP($A59,'Institution Evaluation'!$A$56:$K$345,9,0)&amp;""</f>
      </c>
      <c r="J59" s="4">
        <f>VLOOKUP($A59,'Institution Evaluation'!$A$56:$K$345,10,0)&amp;""</f>
      </c>
      <c r="K59" s="4">
        <f>IF($I59='Auto Responses'!$J$11,20,IF($I59='Auto Responses'!$J$13,5,10))</f>
      </c>
      <c r="L59" s="106">
        <f>IF($E59='Auto Responses'!$L$13, 'Auto Responses'!$J$5,IF(AND($D59='Auto Responses'!$J$27,$H59=""),'Auto Responses'!$J$5,IF(AND($D59='Auto Responses'!$J$27,$H59='Auto Responses'!$J$7),1,IF(AND($D59='Auto Responses'!$J$27,$H59='Auto Responses'!$J$8),0,IF(OR(AND($F59=$G59,$H59=""),$H59='Auto Responses'!$J$7),1,0)))))</f>
      </c>
      <c r="M59" s="4">
        <f>VLOOKUP($A59,'Institution Evaluation'!$A$56:$K$345,11,0)&amp;""</f>
      </c>
      <c r="N59" s="4">
        <f>IF($J59='Auto Responses'!$J$11,1,IF(AND($J59="",$I59='Auto Responses'!$J$11),1,0))</f>
      </c>
      <c r="O59" s="106">
        <f>IF(OR($F$19='Auto Responses'!$J$4,$E59='Auto Responses'!$L$13,$F59='Auto Responses'!$J$5),'Auto Responses'!$J$5,IF($J59="",$K59,IF($J59='Auto Responses'!$J$13,5,IF($J59='Auto Responses'!$J$12,10,IF($J59='Auto Responses'!$J$11,20,0)))))</f>
      </c>
      <c r="P59" s="106">
        <f>IF(OR($O59='Auto Responses'!$J$5,$L59='Auto Responses'!$J$5),'Auto Responses'!$J$5,$O59*$L59)</f>
      </c>
      <c r="Q59" s="106">
        <f t="shared" si="1"/>
      </c>
      <c r="R59" s="106">
        <f t="shared" si="5"/>
      </c>
      <c r="S59" s="106">
        <f t="shared" si="2"/>
      </c>
      <c r="T59" s="106">
        <f t="shared" si="3"/>
      </c>
      <c r="U59" s="106">
        <f t="shared" si="6"/>
      </c>
      <c r="V59" s="106">
        <f t="shared" si="4"/>
      </c>
    </row>
    <row r="60" spans="1:22" ht="60" x14ac:dyDescent="0.2">
      <c r="A60" s="4">
        <f>Questions!$A60</f>
      </c>
      <c r="B60" s="4">
        <f t="shared" si="0"/>
      </c>
      <c r="C60" s="4">
        <f>VLOOKUP($A60,Questions!$A$3:$L$333,2,0)&amp;""</f>
      </c>
      <c r="D60" s="4">
        <f>VLOOKUP($A60,Questions!$A$3:$L$333,11,0)&amp;""</f>
      </c>
      <c r="E60" s="4">
        <f>VLOOKUP($A60,Questions!$A$3:$L$333,12,0)&amp;""</f>
      </c>
      <c r="F60" s="4">
        <f>VLOOKUP($A60,'Institution Evaluation'!$A$56:$K$345,3,0)&amp;""</f>
      </c>
      <c r="G60" s="4">
        <f>VLOOKUP($A60,'Institution Evaluation'!$A$56:$K$345,7,0)&amp;""</f>
      </c>
      <c r="H60" s="4">
        <f>VLOOKUP($A60,'Institution Evaluation'!$A$56:$K$345,8,0)&amp;""</f>
      </c>
      <c r="I60" s="4">
        <f>VLOOKUP($A60,'Institution Evaluation'!$A$56:$K$345,9,0)&amp;""</f>
      </c>
      <c r="J60" s="4">
        <f>VLOOKUP($A60,'Institution Evaluation'!$A$56:$K$345,10,0)&amp;""</f>
      </c>
      <c r="K60" s="4">
        <f>IF($I60='Auto Responses'!$J$11,20,IF($I60='Auto Responses'!$J$13,5,10))</f>
      </c>
      <c r="L60" s="106">
        <f>IF($E60='Auto Responses'!$L$13, 'Auto Responses'!$J$5,IF(AND($D60='Auto Responses'!$J$27,$H60=""),'Auto Responses'!$J$5,IF(AND($D60='Auto Responses'!$J$27,$H60='Auto Responses'!$J$7),1,IF(AND($D60='Auto Responses'!$J$27,$H60='Auto Responses'!$J$8),0,IF(OR(AND($F60=$G60,$H60=""),$H60='Auto Responses'!$J$7),1,0)))))</f>
      </c>
      <c r="M60" s="4">
        <f>VLOOKUP($A60,'Institution Evaluation'!$A$56:$K$345,11,0)&amp;""</f>
      </c>
      <c r="N60" s="4">
        <f>IF($J60='Auto Responses'!$J$11,1,IF(AND($J60="",$I60='Auto Responses'!$J$11),1,0))</f>
      </c>
      <c r="O60" s="106">
        <f>IF(OR($F$19='Auto Responses'!$J$4,$E60='Auto Responses'!$L$13,$F60='Auto Responses'!$J$5),'Auto Responses'!$J$5,IF($J60="",$K60,IF($J60='Auto Responses'!$J$13,5,IF($J60='Auto Responses'!$J$12,10,IF($J60='Auto Responses'!$J$11,20,0)))))</f>
      </c>
      <c r="P60" s="106">
        <f>IF(OR($O60='Auto Responses'!$J$5,$L60='Auto Responses'!$J$5),'Auto Responses'!$J$5,$O60*$L60)</f>
      </c>
      <c r="Q60" s="106">
        <f t="shared" si="1"/>
      </c>
      <c r="R60" s="106">
        <f t="shared" si="5"/>
      </c>
      <c r="S60" s="106">
        <f t="shared" si="2"/>
      </c>
      <c r="T60" s="106">
        <f t="shared" si="3"/>
      </c>
      <c r="U60" s="106">
        <f t="shared" si="6"/>
      </c>
      <c r="V60" s="106">
        <f t="shared" si="4"/>
      </c>
    </row>
    <row r="61" spans="1:22" ht="60" x14ac:dyDescent="0.2">
      <c r="A61" s="4">
        <f>Questions!$A61</f>
      </c>
      <c r="B61" s="4">
        <f t="shared" si="0"/>
      </c>
      <c r="C61" s="4">
        <f>VLOOKUP($A61,Questions!$A$3:$L$333,2,0)&amp;""</f>
      </c>
      <c r="D61" s="4">
        <f>VLOOKUP($A61,Questions!$A$3:$L$333,11,0)&amp;""</f>
      </c>
      <c r="E61" s="4">
        <f>VLOOKUP($A61,Questions!$A$3:$L$333,12,0)&amp;""</f>
      </c>
      <c r="F61" s="4">
        <f>VLOOKUP($A61,'Institution Evaluation'!$A$56:$K$345,3,0)&amp;""</f>
      </c>
      <c r="G61" s="4">
        <f>VLOOKUP($A61,'Institution Evaluation'!$A$56:$K$345,7,0)&amp;""</f>
      </c>
      <c r="H61" s="4">
        <f>VLOOKUP($A61,'Institution Evaluation'!$A$56:$K$345,8,0)&amp;""</f>
      </c>
      <c r="I61" s="4">
        <f>VLOOKUP($A61,'Institution Evaluation'!$A$56:$K$345,9,0)&amp;""</f>
      </c>
      <c r="J61" s="4">
        <f>VLOOKUP($A61,'Institution Evaluation'!$A$56:$K$345,10,0)&amp;""</f>
      </c>
      <c r="K61" s="4">
        <f>IF($I61='Auto Responses'!$J$11,20,IF($I61='Auto Responses'!$J$13,5,10))</f>
      </c>
      <c r="L61" s="106">
        <f>IF($E61='Auto Responses'!$L$13, 'Auto Responses'!$J$5,IF(AND($D61='Auto Responses'!$J$27,$H61=""),'Auto Responses'!$J$5,IF(AND($D61='Auto Responses'!$J$27,$H61='Auto Responses'!$J$7),1,IF(AND($D61='Auto Responses'!$J$27,$H61='Auto Responses'!$J$8),0,IF(OR(AND($F61=$G61,$H61=""),$H61='Auto Responses'!$J$7),1,0)))))</f>
      </c>
      <c r="M61" s="4">
        <f>VLOOKUP($A61,'Institution Evaluation'!$A$56:$K$345,11,0)&amp;""</f>
      </c>
      <c r="N61" s="4">
        <f>IF($J61='Auto Responses'!$J$11,1,IF(AND($J61="",$I61='Auto Responses'!$J$11),1,0))</f>
      </c>
      <c r="O61" s="106">
        <f>IF(OR($F$19='Auto Responses'!$J$4,$E61='Auto Responses'!$L$13,$F61='Auto Responses'!$J$5),'Auto Responses'!$J$5,IF($J61="",$K61,IF($J61='Auto Responses'!$J$13,5,IF($J61='Auto Responses'!$J$12,10,IF($J61='Auto Responses'!$J$11,20,0)))))</f>
      </c>
      <c r="P61" s="106">
        <f>IF(OR($O61='Auto Responses'!$J$5,$L61='Auto Responses'!$J$5),'Auto Responses'!$J$5,$O61*$L61)</f>
      </c>
      <c r="Q61" s="106">
        <f t="shared" si="1"/>
      </c>
      <c r="R61" s="106">
        <f t="shared" si="5"/>
      </c>
      <c r="S61" s="106">
        <f t="shared" si="2"/>
      </c>
      <c r="T61" s="106">
        <f t="shared" si="3"/>
      </c>
      <c r="U61" s="106">
        <f t="shared" si="6"/>
      </c>
      <c r="V61" s="106">
        <f t="shared" si="4"/>
      </c>
    </row>
    <row r="62" spans="1:22" ht="60" x14ac:dyDescent="0.2">
      <c r="A62" s="4">
        <f>Questions!$A62</f>
      </c>
      <c r="B62" s="4">
        <f t="shared" si="0"/>
      </c>
      <c r="C62" s="4">
        <f>VLOOKUP($A62,Questions!$A$3:$L$333,2,0)&amp;""</f>
      </c>
      <c r="D62" s="4">
        <f>VLOOKUP($A62,Questions!$A$3:$L$333,11,0)&amp;""</f>
      </c>
      <c r="E62" s="4">
        <f>VLOOKUP($A62,Questions!$A$3:$L$333,12,0)&amp;""</f>
      </c>
      <c r="F62" s="4">
        <f>VLOOKUP($A62,'Institution Evaluation'!$A$56:$K$345,3,0)&amp;""</f>
      </c>
      <c r="G62" s="4">
        <f>VLOOKUP($A62,'Institution Evaluation'!$A$56:$K$345,7,0)&amp;""</f>
      </c>
      <c r="H62" s="4">
        <f>VLOOKUP($A62,'Institution Evaluation'!$A$56:$K$345,8,0)&amp;""</f>
      </c>
      <c r="I62" s="4">
        <f>VLOOKUP($A62,'Institution Evaluation'!$A$56:$K$345,9,0)&amp;""</f>
      </c>
      <c r="J62" s="4">
        <f>VLOOKUP($A62,'Institution Evaluation'!$A$56:$K$345,10,0)&amp;""</f>
      </c>
      <c r="K62" s="4">
        <f>IF($I62='Auto Responses'!$J$11,20,IF($I62='Auto Responses'!$J$13,5,10))</f>
      </c>
      <c r="L62" s="106">
        <f>IF($E62='Auto Responses'!$L$13, 'Auto Responses'!$J$5,IF(AND($D62='Auto Responses'!$J$27,$H62=""),'Auto Responses'!$J$5,IF(AND($D62='Auto Responses'!$J$27,$H62='Auto Responses'!$J$7),1,IF(AND($D62='Auto Responses'!$J$27,$H62='Auto Responses'!$J$8),0,IF(OR(AND($F62=$G62,$H62=""),$H62='Auto Responses'!$J$7),1,0)))))</f>
      </c>
      <c r="M62" s="4">
        <f>VLOOKUP($A62,'Institution Evaluation'!$A$56:$K$345,11,0)&amp;""</f>
      </c>
      <c r="N62" s="4">
        <f>IF($J62='Auto Responses'!$J$11,1,IF(AND($J62="",$I62='Auto Responses'!$J$11),1,0))</f>
      </c>
      <c r="O62" s="106">
        <f>IF(OR($F$19='Auto Responses'!$J$4,$E62='Auto Responses'!$L$13,$F62='Auto Responses'!$J$5),'Auto Responses'!$J$5,IF($J62="",$K62,IF($J62='Auto Responses'!$J$13,5,IF($J62='Auto Responses'!$J$12,10,IF($J62='Auto Responses'!$J$11,20,0)))))</f>
      </c>
      <c r="P62" s="106">
        <f>IF(OR($O62='Auto Responses'!$J$5,$L62='Auto Responses'!$J$5),'Auto Responses'!$J$5,$O62*$L62)</f>
      </c>
      <c r="Q62" s="106">
        <f t="shared" si="1"/>
      </c>
      <c r="R62" s="106">
        <f t="shared" si="5"/>
      </c>
      <c r="S62" s="106">
        <f t="shared" si="2"/>
      </c>
      <c r="T62" s="106">
        <f t="shared" si="3"/>
      </c>
      <c r="U62" s="106">
        <f t="shared" si="6"/>
      </c>
      <c r="V62" s="106">
        <f t="shared" si="4"/>
      </c>
    </row>
    <row r="63" spans="1:22" ht="60" x14ac:dyDescent="0.2">
      <c r="A63" s="4">
        <f>Questions!$A63</f>
      </c>
      <c r="B63" s="4">
        <f t="shared" si="0"/>
      </c>
      <c r="C63" s="4">
        <f>VLOOKUP($A63,Questions!$A$3:$L$333,2,0)&amp;""</f>
      </c>
      <c r="D63" s="4">
        <f>VLOOKUP($A63,Questions!$A$3:$L$333,11,0)&amp;""</f>
      </c>
      <c r="E63" s="4">
        <f>VLOOKUP($A63,Questions!$A$3:$L$333,12,0)&amp;""</f>
      </c>
      <c r="F63" s="4">
        <f>VLOOKUP($A63,'Institution Evaluation'!$A$56:$K$345,3,0)&amp;""</f>
      </c>
      <c r="G63" s="4">
        <f>VLOOKUP($A63,'Institution Evaluation'!$A$56:$K$345,7,0)&amp;""</f>
      </c>
      <c r="H63" s="4">
        <f>VLOOKUP($A63,'Institution Evaluation'!$A$56:$K$345,8,0)&amp;""</f>
      </c>
      <c r="I63" s="4">
        <f>VLOOKUP($A63,'Institution Evaluation'!$A$56:$K$345,9,0)&amp;""</f>
      </c>
      <c r="J63" s="4">
        <f>VLOOKUP($A63,'Institution Evaluation'!$A$56:$K$345,10,0)&amp;""</f>
      </c>
      <c r="K63" s="4">
        <f>IF($I63='Auto Responses'!$J$11,20,IF($I63='Auto Responses'!$J$13,5,10))</f>
      </c>
      <c r="L63" s="106">
        <f>IF($E63='Auto Responses'!$L$13, 'Auto Responses'!$J$5,IF(AND($D63='Auto Responses'!$J$27,$H63=""),'Auto Responses'!$J$5,IF(AND($D63='Auto Responses'!$J$27,$H63='Auto Responses'!$J$7),1,IF(AND($D63='Auto Responses'!$J$27,$H63='Auto Responses'!$J$8),0,IF(OR(AND($F63=$G63,$H63=""),$H63='Auto Responses'!$J$7),1,0)))))</f>
      </c>
      <c r="M63" s="4">
        <f>VLOOKUP($A63,'Institution Evaluation'!$A$56:$K$345,11,0)&amp;""</f>
      </c>
      <c r="N63" s="4">
        <f>IF($J63='Auto Responses'!$J$11,1,IF(AND($J63="",$I63='Auto Responses'!$J$11),1,0))</f>
      </c>
      <c r="O63" s="106">
        <f>IF(OR($F$19='Auto Responses'!$J$4,$E63='Auto Responses'!$L$13,$F63='Auto Responses'!$J$5),'Auto Responses'!$J$5,IF($J63="",$K63,IF($J63='Auto Responses'!$J$13,5,IF($J63='Auto Responses'!$J$12,10,IF($J63='Auto Responses'!$J$11,20,0)))))</f>
      </c>
      <c r="P63" s="106">
        <f>IF(OR($O63='Auto Responses'!$J$5,$L63='Auto Responses'!$J$5),'Auto Responses'!$J$5,$O63*$L63)</f>
      </c>
      <c r="Q63" s="106">
        <f t="shared" si="1"/>
      </c>
      <c r="R63" s="106">
        <f t="shared" si="5"/>
      </c>
      <c r="S63" s="106">
        <f t="shared" si="2"/>
      </c>
      <c r="T63" s="106">
        <f t="shared" si="3"/>
      </c>
      <c r="U63" s="106">
        <f t="shared" si="6"/>
      </c>
      <c r="V63" s="106">
        <f t="shared" si="4"/>
      </c>
    </row>
    <row r="64" spans="1:22" ht="60" x14ac:dyDescent="0.2">
      <c r="A64" s="4">
        <f>Questions!$A64</f>
      </c>
      <c r="B64" s="4">
        <f t="shared" si="0"/>
      </c>
      <c r="C64" s="4">
        <f>VLOOKUP($A64,Questions!$A$3:$L$333,2,0)&amp;""</f>
      </c>
      <c r="D64" s="4">
        <f>VLOOKUP($A64,Questions!$A$3:$L$333,11,0)&amp;""</f>
      </c>
      <c r="E64" s="4">
        <f>VLOOKUP($A64,Questions!$A$3:$L$333,12,0)&amp;""</f>
      </c>
      <c r="F64" s="4">
        <f>VLOOKUP($A64,'Institution Evaluation'!$A$56:$K$345,3,0)&amp;""</f>
      </c>
      <c r="G64" s="4">
        <f>VLOOKUP($A64,'Institution Evaluation'!$A$56:$K$345,7,0)&amp;""</f>
      </c>
      <c r="H64" s="4">
        <f>VLOOKUP($A64,'Institution Evaluation'!$A$56:$K$345,8,0)&amp;""</f>
      </c>
      <c r="I64" s="4">
        <f>VLOOKUP($A64,'Institution Evaluation'!$A$56:$K$345,9,0)&amp;""</f>
      </c>
      <c r="J64" s="4">
        <f>VLOOKUP($A64,'Institution Evaluation'!$A$56:$K$345,10,0)&amp;""</f>
      </c>
      <c r="K64" s="4">
        <f>IF($I64='Auto Responses'!$J$11,20,IF($I64='Auto Responses'!$J$13,5,10))</f>
      </c>
      <c r="L64" s="106">
        <f>IF($E64='Auto Responses'!$L$13, 'Auto Responses'!$J$5,IF(AND($D64='Auto Responses'!$J$27,$H64=""),'Auto Responses'!$J$5,IF(AND($D64='Auto Responses'!$J$27,$H64='Auto Responses'!$J$7),1,IF(AND($D64='Auto Responses'!$J$27,$H64='Auto Responses'!$J$8),0,IF(OR(AND($F64=$G64,$H64=""),$H64='Auto Responses'!$J$7),1,0)))))</f>
      </c>
      <c r="M64" s="4">
        <f>VLOOKUP($A64,'Institution Evaluation'!$A$56:$K$345,11,0)&amp;""</f>
      </c>
      <c r="N64" s="4">
        <f>IF($J64='Auto Responses'!$J$11,1,IF(AND($J64="",$I64='Auto Responses'!$J$11),1,0))</f>
      </c>
      <c r="O64" s="106">
        <f>IF(OR($F$17='Auto Responses'!$J$4,$E64='Auto Responses'!$L$13,$F64='Auto Responses'!$J$5),'Auto Responses'!$J$5,IF($J64="",$K64,IF($J64='Auto Responses'!$J$13,5,IF($J64='Auto Responses'!$J$12,10,IF($J64='Auto Responses'!$J$11,20,0)))))</f>
      </c>
      <c r="P64" s="106">
        <f>IF(OR($O64='Auto Responses'!$J$5,$L64='Auto Responses'!$J$5),'Auto Responses'!$J$5,$O64*$L64)</f>
      </c>
      <c r="Q64" s="106">
        <f t="shared" si="1"/>
      </c>
      <c r="R64" s="106">
        <f t="shared" si="5"/>
      </c>
      <c r="S64" s="106">
        <f t="shared" si="2"/>
      </c>
      <c r="T64" s="106">
        <f t="shared" si="3"/>
      </c>
      <c r="U64" s="106">
        <f t="shared" si="6"/>
      </c>
      <c r="V64" s="106">
        <f t="shared" si="4"/>
      </c>
    </row>
    <row r="65" spans="1:22" ht="60" x14ac:dyDescent="0.2">
      <c r="A65" s="4">
        <f>Questions!$A65</f>
      </c>
      <c r="B65" s="4">
        <f t="shared" si="0"/>
      </c>
      <c r="C65" s="4">
        <f>VLOOKUP($A65,Questions!$A$3:$L$333,2,0)&amp;""</f>
      </c>
      <c r="D65" s="4">
        <f>VLOOKUP($A65,Questions!$A$3:$L$333,11,0)&amp;""</f>
      </c>
      <c r="E65" s="4">
        <f>VLOOKUP($A65,Questions!$A$3:$L$333,12,0)&amp;""</f>
      </c>
      <c r="F65" s="4">
        <f>VLOOKUP($A65,'Institution Evaluation'!$A$56:$K$345,3,0)&amp;""</f>
      </c>
      <c r="G65" s="4">
        <f>VLOOKUP($A65,'Institution Evaluation'!$A$56:$K$345,7,0)&amp;""</f>
      </c>
      <c r="H65" s="4">
        <f>VLOOKUP($A65,'Institution Evaluation'!$A$56:$K$345,8,0)&amp;""</f>
      </c>
      <c r="I65" s="4">
        <f>VLOOKUP($A65,'Institution Evaluation'!$A$56:$K$345,9,0)&amp;""</f>
      </c>
      <c r="J65" s="4">
        <f>VLOOKUP($A65,'Institution Evaluation'!$A$56:$K$345,10,0)&amp;""</f>
      </c>
      <c r="K65" s="4">
        <f>IF($I65='Auto Responses'!$J$11,20,IF($I65='Auto Responses'!$J$13,5,10))</f>
      </c>
      <c r="L65" s="106">
        <f>IF($E65='Auto Responses'!$L$13, 'Auto Responses'!$J$5,IF(AND($D65='Auto Responses'!$J$27,$H65=""),'Auto Responses'!$J$5,IF(AND($D65='Auto Responses'!$J$27,$H65='Auto Responses'!$J$7),1,IF(AND($D65='Auto Responses'!$J$27,$H65='Auto Responses'!$J$8),0,IF(OR(AND($F65=$G65,$H65=""),$H65='Auto Responses'!$J$7),1,0)))))</f>
      </c>
      <c r="M65" s="4">
        <f>VLOOKUP($A65,'Institution Evaluation'!$A$56:$K$345,11,0)&amp;""</f>
      </c>
      <c r="N65" s="4">
        <f>IF($J65='Auto Responses'!$J$11,1,IF(AND($J65="",$I65='Auto Responses'!$J$11),1,0))</f>
      </c>
      <c r="O65" s="106">
        <f>IF(OR($F$17='Auto Responses'!$J$4,$E65='Auto Responses'!$L$13,$F65='Auto Responses'!$J$5),'Auto Responses'!$J$5,IF($J65="",$K65,IF($J65='Auto Responses'!$J$13,5,IF($J65='Auto Responses'!$J$12,10,IF($J65='Auto Responses'!$J$11,20,0)))))</f>
      </c>
      <c r="P65" s="106">
        <f>IF(OR($O65='Auto Responses'!$J$5,$L65='Auto Responses'!$J$5),'Auto Responses'!$J$5,$O65*$L65)</f>
      </c>
      <c r="Q65" s="106">
        <f t="shared" si="1"/>
      </c>
      <c r="R65" s="106">
        <f t="shared" si="5"/>
      </c>
      <c r="S65" s="106">
        <f t="shared" si="2"/>
      </c>
      <c r="T65" s="106">
        <f t="shared" si="3"/>
      </c>
      <c r="U65" s="106">
        <f t="shared" si="6"/>
      </c>
      <c r="V65" s="106">
        <f t="shared" si="4"/>
      </c>
    </row>
    <row r="66" spans="1:22" ht="60" x14ac:dyDescent="0.2">
      <c r="A66" s="4">
        <f>Questions!$A66</f>
      </c>
      <c r="B66" s="4">
        <f t="shared" si="0"/>
      </c>
      <c r="C66" s="4">
        <f>VLOOKUP($A66,Questions!$A$3:$L$333,2,0)&amp;""</f>
      </c>
      <c r="D66" s="4">
        <f>VLOOKUP($A66,Questions!$A$3:$L$333,11,0)&amp;""</f>
      </c>
      <c r="E66" s="4">
        <f>VLOOKUP($A66,Questions!$A$3:$L$333,12,0)&amp;""</f>
      </c>
      <c r="F66" s="4">
        <f>VLOOKUP($A66,'Institution Evaluation'!$A$56:$K$345,3,0)&amp;""</f>
      </c>
      <c r="G66" s="4">
        <f>VLOOKUP($A66,'Institution Evaluation'!$A$56:$K$345,7,0)&amp;""</f>
      </c>
      <c r="H66" s="4">
        <f>VLOOKUP($A66,'Institution Evaluation'!$A$56:$K$345,8,0)&amp;""</f>
      </c>
      <c r="I66" s="4">
        <f>VLOOKUP($A66,'Institution Evaluation'!$A$56:$K$345,9,0)&amp;""</f>
      </c>
      <c r="J66" s="4">
        <f>VLOOKUP($A66,'Institution Evaluation'!$A$56:$K$345,10,0)&amp;""</f>
      </c>
      <c r="K66" s="4">
        <f>IF($I66='Auto Responses'!$J$11,20,IF($I66='Auto Responses'!$J$13,5,10))</f>
      </c>
      <c r="L66" s="106">
        <f>IF($E66='Auto Responses'!$L$13, 'Auto Responses'!$J$5,IF(AND($D66='Auto Responses'!$J$27,$H66=""),'Auto Responses'!$J$5,IF(AND($D66='Auto Responses'!$J$27,$H66='Auto Responses'!$J$7),1,IF(AND($D66='Auto Responses'!$J$27,$H66='Auto Responses'!$J$8),0,IF(OR(AND($F66=$G66,$H66=""),$H66='Auto Responses'!$J$7),1,0)))))</f>
      </c>
      <c r="M66" s="4">
        <f>VLOOKUP($A66,'Institution Evaluation'!$A$56:$K$345,11,0)&amp;""</f>
      </c>
      <c r="N66" s="4">
        <f>IF($J66='Auto Responses'!$J$11,1,IF(AND($J66="",$I66='Auto Responses'!$J$11),1,0))</f>
      </c>
      <c r="O66" s="106">
        <f>IF(OR($F$17='Auto Responses'!$J$4,$E66='Auto Responses'!$L$13,$F66='Auto Responses'!$J$5),'Auto Responses'!$J$5,IF($J66="",$K66,IF($J66='Auto Responses'!$J$13,5,IF($J66='Auto Responses'!$J$12,10,IF($J66='Auto Responses'!$J$11,20,0)))))</f>
      </c>
      <c r="P66" s="106">
        <f>IF(OR($O66='Auto Responses'!$J$5,$L66='Auto Responses'!$J$5),'Auto Responses'!$J$5,$O66*$L66)</f>
      </c>
      <c r="Q66" s="106">
        <f t="shared" si="1"/>
      </c>
      <c r="R66" s="106">
        <f t="shared" si="5"/>
      </c>
      <c r="S66" s="106">
        <f t="shared" si="2"/>
      </c>
      <c r="T66" s="106">
        <f t="shared" si="3"/>
      </c>
      <c r="U66" s="106">
        <f t="shared" si="6"/>
      </c>
      <c r="V66" s="106">
        <f t="shared" si="4"/>
      </c>
    </row>
    <row r="67" spans="1:22" ht="60" x14ac:dyDescent="0.2">
      <c r="A67" s="4">
        <f>Questions!$A67</f>
      </c>
      <c r="B67" s="4">
        <f t="shared" si="0"/>
      </c>
      <c r="C67" s="4">
        <f>VLOOKUP($A67,Questions!$A$3:$L$333,2,0)&amp;""</f>
      </c>
      <c r="D67" s="4">
        <f>VLOOKUP($A67,Questions!$A$3:$L$333,11,0)&amp;""</f>
      </c>
      <c r="E67" s="4">
        <f>VLOOKUP($A67,Questions!$A$3:$L$333,12,0)&amp;""</f>
      </c>
      <c r="F67" s="4">
        <f>VLOOKUP($A67,'Institution Evaluation'!$A$56:$K$345,3,0)&amp;""</f>
      </c>
      <c r="G67" s="4">
        <f>VLOOKUP($A67,'Institution Evaluation'!$A$56:$K$345,7,0)&amp;""</f>
      </c>
      <c r="H67" s="4">
        <f>VLOOKUP($A67,'Institution Evaluation'!$A$56:$K$345,8,0)&amp;""</f>
      </c>
      <c r="I67" s="4">
        <f>VLOOKUP($A67,'Institution Evaluation'!$A$56:$K$345,9,0)&amp;""</f>
      </c>
      <c r="J67" s="4">
        <f>VLOOKUP($A67,'Institution Evaluation'!$A$56:$K$345,10,0)&amp;""</f>
      </c>
      <c r="K67" s="4">
        <f>IF($I67='Auto Responses'!$J$11,20,IF($I67='Auto Responses'!$J$13,5,10))</f>
      </c>
      <c r="L67" s="106">
        <f>IF($E67='Auto Responses'!$L$13, 'Auto Responses'!$J$5,IF(AND($D67='Auto Responses'!$J$27,$H67=""),'Auto Responses'!$J$5,IF(AND($D67='Auto Responses'!$J$27,$H67='Auto Responses'!$J$7),1,IF(AND($D67='Auto Responses'!$J$27,$H67='Auto Responses'!$J$8),0,IF(OR(AND($F67=$G67,$H67=""),$H67='Auto Responses'!$J$7),1,0)))))</f>
      </c>
      <c r="M67" s="4">
        <f>VLOOKUP($A67,'Institution Evaluation'!$A$56:$K$345,11,0)&amp;""</f>
      </c>
      <c r="N67" s="4">
        <f>IF($J67='Auto Responses'!$J$11,1,IF(AND($J67="",$I67='Auto Responses'!$J$11),1,0))</f>
      </c>
      <c r="O67" s="106">
        <f>IF(OR($F$17='Auto Responses'!$J$4,$E67='Auto Responses'!$L$13,$F67='Auto Responses'!$J$5),'Auto Responses'!$J$5,IF($J67="",$K67,IF($J67='Auto Responses'!$J$13,5,IF($J67='Auto Responses'!$J$12,10,IF($J67='Auto Responses'!$J$11,20,0)))))</f>
      </c>
      <c r="P67" s="106">
        <f>IF(OR($O67='Auto Responses'!$J$5,$L67='Auto Responses'!$J$5),'Auto Responses'!$J$5,$O67*$L67)</f>
      </c>
      <c r="Q67" s="106">
        <f t="shared" ref="Q67:Q129" si="7">IF(M67="TRUE",1,0)</f>
      </c>
      <c r="R67" s="106">
        <f t="shared" si="5"/>
      </c>
      <c r="S67" s="106">
        <f t="shared" ref="S67:S129" si="8">IF(Q67=0,0,R67)</f>
      </c>
      <c r="T67" s="106">
        <f t="shared" ref="T67:T129" si="9">IF(N67=1,1,0)</f>
      </c>
      <c r="U67" s="106">
        <f t="shared" si="6"/>
      </c>
      <c r="V67" s="106">
        <f t="shared" ref="V67:V129" si="10">IF(T67=0,0,U67)</f>
      </c>
    </row>
    <row r="68" spans="1:22" ht="60" x14ac:dyDescent="0.2">
      <c r="A68" s="4">
        <f>Questions!$A68</f>
      </c>
      <c r="B68" s="4">
        <f t="shared" ref="B68:B130" si="11">LEFT(A68,4)</f>
      </c>
      <c r="C68" s="4">
        <f>VLOOKUP($A68,Questions!$A$3:$L$333,2,0)&amp;""</f>
      </c>
      <c r="D68" s="4">
        <f>VLOOKUP($A68,Questions!$A$3:$L$333,11,0)&amp;""</f>
      </c>
      <c r="E68" s="4">
        <f>VLOOKUP($A68,Questions!$A$3:$L$333,12,0)&amp;""</f>
      </c>
      <c r="F68" s="4">
        <f>VLOOKUP($A68,'Institution Evaluation'!$A$56:$K$345,3,0)&amp;""</f>
      </c>
      <c r="G68" s="4">
        <f>VLOOKUP($A68,'Institution Evaluation'!$A$56:$K$345,7,0)&amp;""</f>
      </c>
      <c r="H68" s="4">
        <f>VLOOKUP($A68,'Institution Evaluation'!$A$56:$K$345,8,0)&amp;""</f>
      </c>
      <c r="I68" s="4">
        <f>VLOOKUP($A68,'Institution Evaluation'!$A$56:$K$345,9,0)&amp;""</f>
      </c>
      <c r="J68" s="4">
        <f>VLOOKUP($A68,'Institution Evaluation'!$A$56:$K$345,10,0)&amp;""</f>
      </c>
      <c r="K68" s="4">
        <f>IF($I68='Auto Responses'!$J$11,20,IF($I68='Auto Responses'!$J$13,5,10))</f>
      </c>
      <c r="L68" s="106">
        <f>IF($E68='Auto Responses'!$L$13, 'Auto Responses'!$J$5,IF(AND($D68='Auto Responses'!$J$27,$H68=""),'Auto Responses'!$J$5,IF(AND($D68='Auto Responses'!$J$27,$H68='Auto Responses'!$J$7),1,IF(AND($D68='Auto Responses'!$J$27,$H68='Auto Responses'!$J$8),0,IF(OR(AND($F68=$G68,$H68=""),$H68='Auto Responses'!$J$7),1,0)))))</f>
      </c>
      <c r="M68" s="4">
        <f>VLOOKUP($A68,'Institution Evaluation'!$A$56:$K$345,11,0)&amp;""</f>
      </c>
      <c r="N68" s="4">
        <f>IF($J68='Auto Responses'!$J$11,1,IF(AND($J68="",$I68='Auto Responses'!$J$11),1,0))</f>
      </c>
      <c r="O68" s="106">
        <f>IF(OR($F$17='Auto Responses'!$J$4,$E68='Auto Responses'!$L$13,$F68='Auto Responses'!$J$5),'Auto Responses'!$J$5,IF($J68="",$K68,IF($J68='Auto Responses'!$J$13,5,IF($J68='Auto Responses'!$J$12,10,IF($J68='Auto Responses'!$J$11,20,0)))))</f>
      </c>
      <c r="P68" s="106">
        <f>IF(OR($O68='Auto Responses'!$J$5,$L68='Auto Responses'!$J$5),'Auto Responses'!$J$5,$O68*$L68)</f>
      </c>
      <c r="Q68" s="106">
        <f t="shared" si="7"/>
      </c>
      <c r="R68" s="106">
        <f t="shared" si="5"/>
      </c>
      <c r="S68" s="106">
        <f t="shared" si="8"/>
      </c>
      <c r="T68" s="106">
        <f t="shared" si="9"/>
      </c>
      <c r="U68" s="106">
        <f t="shared" si="6"/>
      </c>
      <c r="V68" s="106">
        <f t="shared" si="10"/>
      </c>
    </row>
    <row r="69" spans="1:22" ht="60" x14ac:dyDescent="0.2">
      <c r="A69" s="4">
        <f>Questions!$A69</f>
      </c>
      <c r="B69" s="4">
        <f t="shared" si="11"/>
      </c>
      <c r="C69" s="4">
        <f>VLOOKUP($A69,Questions!$A$3:$L$333,2,0)&amp;""</f>
      </c>
      <c r="D69" s="4">
        <f>VLOOKUP($A69,Questions!$A$3:$L$333,11,0)&amp;""</f>
      </c>
      <c r="E69" s="4">
        <f>VLOOKUP($A69,Questions!$A$3:$L$333,12,0)&amp;""</f>
      </c>
      <c r="F69" s="4">
        <f>VLOOKUP($A69,'Institution Evaluation'!$A$56:$K$345,3,0)&amp;""</f>
      </c>
      <c r="G69" s="4">
        <f>VLOOKUP($A69,'Institution Evaluation'!$A$56:$K$345,7,0)&amp;""</f>
      </c>
      <c r="H69" s="4">
        <f>VLOOKUP($A69,'Institution Evaluation'!$A$56:$K$345,8,0)&amp;""</f>
      </c>
      <c r="I69" s="4">
        <f>VLOOKUP($A69,'Institution Evaluation'!$A$56:$K$345,9,0)&amp;""</f>
      </c>
      <c r="J69" s="4">
        <f>VLOOKUP($A69,'Institution Evaluation'!$A$56:$K$345,10,0)&amp;""</f>
      </c>
      <c r="K69" s="4">
        <f>IF($I69='Auto Responses'!$J$11,20,IF($I69='Auto Responses'!$J$13,5,10))</f>
      </c>
      <c r="L69" s="106">
        <f>IF($E69='Auto Responses'!$L$13, 'Auto Responses'!$J$5,IF(AND($D69='Auto Responses'!$J$27,$H69=""),'Auto Responses'!$J$5,IF(AND($D69='Auto Responses'!$J$27,$H69='Auto Responses'!$J$7),1,IF(AND($D69='Auto Responses'!$J$27,$H69='Auto Responses'!$J$8),0,IF(OR(AND($F69=$G69,$H69=""),$H69='Auto Responses'!$J$7),1,0)))))</f>
      </c>
      <c r="M69" s="4">
        <f>VLOOKUP($A69,'Institution Evaluation'!$A$56:$K$345,11,0)&amp;""</f>
      </c>
      <c r="N69" s="4">
        <f>IF($J69='Auto Responses'!$J$11,1,IF(AND($J69="",$I69='Auto Responses'!$J$11),1,0))</f>
      </c>
      <c r="O69" s="106">
        <f>IF(OR($F$17='Auto Responses'!$J$4,$E69='Auto Responses'!$L$13,$F69='Auto Responses'!$J$5),'Auto Responses'!$J$5,IF($J69="",$K69,IF($J69='Auto Responses'!$J$13,5,IF($J69='Auto Responses'!$J$12,10,IF($J69='Auto Responses'!$J$11,20,0)))))</f>
      </c>
      <c r="P69" s="106">
        <f>IF(OR($O69='Auto Responses'!$J$5,$L69='Auto Responses'!$J$5),'Auto Responses'!$J$5,$O69*$L69)</f>
      </c>
      <c r="Q69" s="106">
        <f t="shared" si="7"/>
      </c>
      <c r="R69" s="106">
        <f t="shared" ref="R69:R132" si="12">R68+Q69</f>
      </c>
      <c r="S69" s="106">
        <f t="shared" si="8"/>
      </c>
      <c r="T69" s="106">
        <f t="shared" si="9"/>
      </c>
      <c r="U69" s="106">
        <f t="shared" ref="U69:U132" si="13">U68+T69</f>
      </c>
      <c r="V69" s="106">
        <f t="shared" si="10"/>
      </c>
    </row>
    <row r="70" spans="1:22" ht="60" x14ac:dyDescent="0.2">
      <c r="A70" s="4">
        <f>Questions!$A70</f>
      </c>
      <c r="B70" s="4">
        <f t="shared" si="11"/>
      </c>
      <c r="C70" s="4">
        <f>VLOOKUP($A70,Questions!$A$3:$L$333,2,0)&amp;""</f>
      </c>
      <c r="D70" s="4">
        <f>VLOOKUP($A70,Questions!$A$3:$L$333,11,0)&amp;""</f>
      </c>
      <c r="E70" s="4">
        <f>VLOOKUP($A70,Questions!$A$3:$L$333,12,0)&amp;""</f>
      </c>
      <c r="F70" s="4">
        <f>VLOOKUP($A70,'Institution Evaluation'!$A$56:$K$345,3,0)&amp;""</f>
      </c>
      <c r="G70" s="4">
        <f>VLOOKUP($A70,'Institution Evaluation'!$A$56:$K$345,7,0)&amp;""</f>
      </c>
      <c r="H70" s="4">
        <f>VLOOKUP($A70,'Institution Evaluation'!$A$56:$K$345,8,0)&amp;""</f>
      </c>
      <c r="I70" s="4">
        <f>VLOOKUP($A70,'Institution Evaluation'!$A$56:$K$345,9,0)&amp;""</f>
      </c>
      <c r="J70" s="4">
        <f>VLOOKUP($A70,'Institution Evaluation'!$A$56:$K$345,10,0)&amp;""</f>
      </c>
      <c r="K70" s="4">
        <f>IF($I70='Auto Responses'!$J$11,20,IF($I70='Auto Responses'!$J$13,5,10))</f>
      </c>
      <c r="L70" s="106">
        <f>IF($E70='Auto Responses'!$L$13, 'Auto Responses'!$J$5,IF(AND($D70='Auto Responses'!$J$27,$H70=""),'Auto Responses'!$J$5,IF(AND($D70='Auto Responses'!$J$27,$H70='Auto Responses'!$J$7),1,IF(AND($D70='Auto Responses'!$J$27,$H70='Auto Responses'!$J$8),0,IF(OR(AND($F70=$G70,$H70=""),$H70='Auto Responses'!$J$7),1,0)))))</f>
      </c>
      <c r="M70" s="4">
        <f>VLOOKUP($A70,'Institution Evaluation'!$A$56:$K$345,11,0)&amp;""</f>
      </c>
      <c r="N70" s="4">
        <f>IF($J70='Auto Responses'!$J$11,1,IF(AND($J70="",$I70='Auto Responses'!$J$11),1,0))</f>
      </c>
      <c r="O70" s="106">
        <f>IF(OR($F$17='Auto Responses'!$J$4,$E70='Auto Responses'!$L$13,$F70='Auto Responses'!$J$5),'Auto Responses'!$J$5,IF($J70="",$K70,IF($J70='Auto Responses'!$J$13,5,IF($J70='Auto Responses'!$J$12,10,IF($J70='Auto Responses'!$J$11,20,0)))))</f>
      </c>
      <c r="P70" s="106">
        <f>IF(OR($O70='Auto Responses'!$J$5,$L70='Auto Responses'!$J$5),'Auto Responses'!$J$5,$O70*$L70)</f>
      </c>
      <c r="Q70" s="106">
        <f t="shared" si="7"/>
      </c>
      <c r="R70" s="106">
        <f t="shared" si="12"/>
      </c>
      <c r="S70" s="106">
        <f t="shared" si="8"/>
      </c>
      <c r="T70" s="106">
        <f t="shared" si="9"/>
      </c>
      <c r="U70" s="106">
        <f t="shared" si="13"/>
      </c>
      <c r="V70" s="106">
        <f t="shared" si="10"/>
      </c>
    </row>
    <row r="71" spans="1:22" ht="60" x14ac:dyDescent="0.2">
      <c r="A71" s="4">
        <f>Questions!$A71</f>
      </c>
      <c r="B71" s="4">
        <f t="shared" si="11"/>
      </c>
      <c r="C71" s="4">
        <f>VLOOKUP($A71,Questions!$A$3:$L$333,2,0)&amp;""</f>
      </c>
      <c r="D71" s="4">
        <f>VLOOKUP($A71,Questions!$A$3:$L$333,11,0)&amp;""</f>
      </c>
      <c r="E71" s="4">
        <f>VLOOKUP($A71,Questions!$A$3:$L$333,12,0)&amp;""</f>
      </c>
      <c r="F71" s="4">
        <f>VLOOKUP($A71,'Institution Evaluation'!$A$56:$K$345,3,0)&amp;""</f>
      </c>
      <c r="G71" s="4">
        <f>VLOOKUP($A71,'Institution Evaluation'!$A$56:$K$345,7,0)&amp;""</f>
      </c>
      <c r="H71" s="4">
        <f>VLOOKUP($A71,'Institution Evaluation'!$A$56:$K$345,8,0)&amp;""</f>
      </c>
      <c r="I71" s="4">
        <f>VLOOKUP($A71,'Institution Evaluation'!$A$56:$K$345,9,0)&amp;""</f>
      </c>
      <c r="J71" s="4">
        <f>VLOOKUP($A71,'Institution Evaluation'!$A$56:$K$345,10,0)&amp;""</f>
      </c>
      <c r="K71" s="4">
        <f>IF($I71='Auto Responses'!$J$11,20,IF($I71='Auto Responses'!$J$13,5,10))</f>
      </c>
      <c r="L71" s="106">
        <f>IF($E71='Auto Responses'!$L$13, 'Auto Responses'!$J$5,IF(AND($D71='Auto Responses'!$J$27,$H71=""),'Auto Responses'!$J$5,IF(AND($D71='Auto Responses'!$J$27,$H71='Auto Responses'!$J$7),1,IF(AND($D71='Auto Responses'!$J$27,$H71='Auto Responses'!$J$8),0,IF(OR(AND($F71=$G71,$H71=""),$H71='Auto Responses'!$J$7),1,0)))))</f>
      </c>
      <c r="M71" s="4">
        <f>VLOOKUP($A71,'Institution Evaluation'!$A$56:$K$345,11,0)&amp;""</f>
      </c>
      <c r="N71" s="4">
        <f>IF($J71='Auto Responses'!$J$11,1,IF(AND($J71="",$I71='Auto Responses'!$J$11),1,0))</f>
      </c>
      <c r="O71" s="106">
        <f>IF(OR($F$17='Auto Responses'!$J$4,$E71='Auto Responses'!$L$13,$F71='Auto Responses'!$J$5),'Auto Responses'!$J$5,IF($J71="",$K71,IF($J71='Auto Responses'!$J$13,5,IF($J71='Auto Responses'!$J$12,10,IF($J71='Auto Responses'!$J$11,20,0)))))</f>
      </c>
      <c r="P71" s="106">
        <f>IF(OR($O71='Auto Responses'!$J$5,$L71='Auto Responses'!$J$5),'Auto Responses'!$J$5,$O71*$L71)</f>
      </c>
      <c r="Q71" s="106">
        <f t="shared" si="7"/>
      </c>
      <c r="R71" s="106">
        <f t="shared" si="12"/>
      </c>
      <c r="S71" s="106">
        <f t="shared" si="8"/>
      </c>
      <c r="T71" s="106">
        <f t="shared" si="9"/>
      </c>
      <c r="U71" s="106">
        <f t="shared" si="13"/>
      </c>
      <c r="V71" s="106">
        <f t="shared" si="10"/>
      </c>
    </row>
    <row r="72" spans="1:22" ht="60" x14ac:dyDescent="0.2">
      <c r="A72" s="4">
        <f>Questions!$A72</f>
      </c>
      <c r="B72" s="4">
        <f t="shared" si="11"/>
      </c>
      <c r="C72" s="4">
        <f>VLOOKUP($A72,Questions!$A$3:$L$333,2,0)&amp;""</f>
      </c>
      <c r="D72" s="4">
        <f>VLOOKUP($A72,Questions!$A$3:$L$333,11,0)&amp;""</f>
      </c>
      <c r="E72" s="4">
        <f>VLOOKUP($A72,Questions!$A$3:$L$333,12,0)&amp;""</f>
      </c>
      <c r="F72" s="4">
        <f>VLOOKUP($A72,'Institution Evaluation'!$A$56:$K$345,3,0)&amp;""</f>
      </c>
      <c r="G72" s="4">
        <f>VLOOKUP($A72,'Institution Evaluation'!$A$56:$K$345,7,0)&amp;""</f>
      </c>
      <c r="H72" s="4">
        <f>VLOOKUP($A72,'Institution Evaluation'!$A$56:$K$345,8,0)&amp;""</f>
      </c>
      <c r="I72" s="4">
        <f>VLOOKUP($A72,'Institution Evaluation'!$A$56:$K$345,9,0)&amp;""</f>
      </c>
      <c r="J72" s="4">
        <f>VLOOKUP($A72,'Institution Evaluation'!$A$56:$K$345,10,0)&amp;""</f>
      </c>
      <c r="K72" s="4">
        <f>IF($I72='Auto Responses'!$J$11,20,IF($I72='Auto Responses'!$J$13,5,10))</f>
      </c>
      <c r="L72" s="106">
        <f>IF($E72='Auto Responses'!$L$13, 'Auto Responses'!$J$5,IF(AND($D72='Auto Responses'!$J$27,$H72=""),'Auto Responses'!$J$5,IF(AND($D72='Auto Responses'!$J$27,$H72='Auto Responses'!$J$7),1,IF(AND($D72='Auto Responses'!$J$27,$H72='Auto Responses'!$J$8),0,IF(OR(AND($F72=$G72,$H72=""),$H72='Auto Responses'!$J$7),1,0)))))</f>
      </c>
      <c r="M72" s="4">
        <f>VLOOKUP($A72,'Institution Evaluation'!$A$56:$K$345,11,0)&amp;""</f>
      </c>
      <c r="N72" s="4">
        <f>IF($J72='Auto Responses'!$J$11,1,IF(AND($J72="",$I72='Auto Responses'!$J$11),1,0))</f>
      </c>
      <c r="O72" s="106">
        <f>IF(OR($F$17='Auto Responses'!$J$4,$E72='Auto Responses'!$L$13,$F72='Auto Responses'!$J$5),'Auto Responses'!$J$5,IF($J72="",$K72,IF($J72='Auto Responses'!$J$13,5,IF($J72='Auto Responses'!$J$12,10,IF($J72='Auto Responses'!$J$11,20,0)))))</f>
      </c>
      <c r="P72" s="106">
        <f>IF(OR($O72='Auto Responses'!$J$5,$L72='Auto Responses'!$J$5),'Auto Responses'!$J$5,$O72*$L72)</f>
      </c>
      <c r="Q72" s="106">
        <f t="shared" si="7"/>
      </c>
      <c r="R72" s="106">
        <f t="shared" si="12"/>
      </c>
      <c r="S72" s="106">
        <f t="shared" si="8"/>
      </c>
      <c r="T72" s="106">
        <f t="shared" si="9"/>
      </c>
      <c r="U72" s="106">
        <f t="shared" si="13"/>
      </c>
      <c r="V72" s="106">
        <f t="shared" si="10"/>
      </c>
    </row>
    <row r="73" spans="1:22" ht="60" x14ac:dyDescent="0.2">
      <c r="A73" s="4">
        <f>Questions!$A73</f>
      </c>
      <c r="B73" s="4">
        <f t="shared" si="11"/>
      </c>
      <c r="C73" s="4">
        <f>VLOOKUP($A73,Questions!$A$3:$L$333,2,0)&amp;""</f>
      </c>
      <c r="D73" s="4">
        <f>VLOOKUP($A73,Questions!$A$3:$L$333,11,0)&amp;""</f>
      </c>
      <c r="E73" s="4">
        <f>VLOOKUP($A73,Questions!$A$3:$L$333,12,0)&amp;""</f>
      </c>
      <c r="F73" s="4">
        <f>VLOOKUP($A73,'Institution Evaluation'!$A$56:$K$345,3,0)&amp;""</f>
      </c>
      <c r="G73" s="4">
        <f>VLOOKUP($A73,'Institution Evaluation'!$A$56:$K$345,7,0)&amp;""</f>
      </c>
      <c r="H73" s="4">
        <f>VLOOKUP($A73,'Institution Evaluation'!$A$56:$K$345,8,0)&amp;""</f>
      </c>
      <c r="I73" s="4">
        <f>VLOOKUP($A73,'Institution Evaluation'!$A$56:$K$345,9,0)&amp;""</f>
      </c>
      <c r="J73" s="4">
        <f>VLOOKUP($A73,'Institution Evaluation'!$A$56:$K$345,10,0)&amp;""</f>
      </c>
      <c r="K73" s="4">
        <f>IF($I73='Auto Responses'!$J$11,20,IF($I73='Auto Responses'!$J$13,5,10))</f>
      </c>
      <c r="L73" s="106">
        <f>IF($E73='Auto Responses'!$L$13, 'Auto Responses'!$J$5,IF(AND($D73='Auto Responses'!$J$27,$H73=""),'Auto Responses'!$J$5,IF(AND($D73='Auto Responses'!$J$27,$H73='Auto Responses'!$J$7),1,IF(AND($D73='Auto Responses'!$J$27,$H73='Auto Responses'!$J$8),0,IF(OR(AND($F73=$G73,$H73=""),$H73='Auto Responses'!$J$7),1,0)))))</f>
      </c>
      <c r="M73" s="4">
        <f>VLOOKUP($A73,'Institution Evaluation'!$A$56:$K$345,11,0)&amp;""</f>
      </c>
      <c r="N73" s="4">
        <f>IF($J73='Auto Responses'!$J$11,1,IF(AND($J73="",$I73='Auto Responses'!$J$11),1,0))</f>
      </c>
      <c r="O73" s="106">
        <f>IF(OR($F$17='Auto Responses'!$J$4,$E73='Auto Responses'!$L$13,$F73='Auto Responses'!$J$5),'Auto Responses'!$J$5,IF($J73="",$K73,IF($J73='Auto Responses'!$J$13,5,IF($J73='Auto Responses'!$J$12,10,IF($J73='Auto Responses'!$J$11,20,0)))))</f>
      </c>
      <c r="P73" s="106">
        <f>IF(OR($O73='Auto Responses'!$J$5,$L73='Auto Responses'!$J$5),'Auto Responses'!$J$5,$O73*$L73)</f>
      </c>
      <c r="Q73" s="106">
        <f t="shared" si="7"/>
      </c>
      <c r="R73" s="106">
        <f t="shared" si="12"/>
      </c>
      <c r="S73" s="106">
        <f t="shared" si="8"/>
      </c>
      <c r="T73" s="106">
        <f t="shared" si="9"/>
      </c>
      <c r="U73" s="106">
        <f t="shared" si="13"/>
      </c>
      <c r="V73" s="106">
        <f t="shared" si="10"/>
      </c>
    </row>
    <row r="74" spans="1:22" ht="60" x14ac:dyDescent="0.2">
      <c r="A74" s="4">
        <f>Questions!$A74</f>
      </c>
      <c r="B74" s="4">
        <f t="shared" si="11"/>
      </c>
      <c r="C74" s="4">
        <f>VLOOKUP($A74,Questions!$A$3:$L$333,2,0)&amp;""</f>
      </c>
      <c r="D74" s="4">
        <f>VLOOKUP($A74,Questions!$A$3:$L$333,11,0)&amp;""</f>
      </c>
      <c r="E74" s="4">
        <f>VLOOKUP($A74,Questions!$A$3:$L$333,12,0)&amp;""</f>
      </c>
      <c r="F74" s="4">
        <f>VLOOKUP($A74,'Institution Evaluation'!$A$56:$K$345,3,0)&amp;""</f>
      </c>
      <c r="G74" s="4">
        <f>VLOOKUP($A74,'Institution Evaluation'!$A$56:$K$345,7,0)&amp;""</f>
      </c>
      <c r="H74" s="4">
        <f>VLOOKUP($A74,'Institution Evaluation'!$A$56:$K$345,8,0)&amp;""</f>
      </c>
      <c r="I74" s="4">
        <f>VLOOKUP($A74,'Institution Evaluation'!$A$56:$K$345,9,0)&amp;""</f>
      </c>
      <c r="J74" s="4">
        <f>VLOOKUP($A74,'Institution Evaluation'!$A$56:$K$345,10,0)&amp;""</f>
      </c>
      <c r="K74" s="4">
        <f>IF($I74='Auto Responses'!$J$11,20,IF($I74='Auto Responses'!$J$13,5,10))</f>
      </c>
      <c r="L74" s="106">
        <f>IF($E74='Auto Responses'!$L$13, 'Auto Responses'!$J$5,IF(AND($D74='Auto Responses'!$J$27,$H74=""),'Auto Responses'!$J$5,IF(AND($D74='Auto Responses'!$J$27,$H74='Auto Responses'!$J$7),1,IF(AND($D74='Auto Responses'!$J$27,$H74='Auto Responses'!$J$8),0,IF(OR(AND($F74=$G74,$H74=""),$H74='Auto Responses'!$J$7),1,0)))))</f>
      </c>
      <c r="M74" s="4">
        <f>VLOOKUP($A74,'Institution Evaluation'!$A$56:$K$345,11,0)&amp;""</f>
      </c>
      <c r="N74" s="4">
        <f>IF($J74='Auto Responses'!$J$11,1,IF(AND($J74="",$I74='Auto Responses'!$J$11),1,0))</f>
      </c>
      <c r="O74" s="106">
        <f>IF(OR($F$17='Auto Responses'!$J$4,$E74='Auto Responses'!$L$13,$F74='Auto Responses'!$J$5),'Auto Responses'!$J$5,IF($J74="",$K74,IF($J74='Auto Responses'!$J$13,5,IF($J74='Auto Responses'!$J$12,10,IF($J74='Auto Responses'!$J$11,20,0)))))</f>
      </c>
      <c r="P74" s="106">
        <f>IF(OR($O74='Auto Responses'!$J$5,$L74='Auto Responses'!$J$5),'Auto Responses'!$J$5,$O74*$L74)</f>
      </c>
      <c r="Q74" s="106">
        <f t="shared" si="7"/>
      </c>
      <c r="R74" s="106">
        <f t="shared" si="12"/>
      </c>
      <c r="S74" s="106">
        <f t="shared" si="8"/>
      </c>
      <c r="T74" s="106">
        <f t="shared" si="9"/>
      </c>
      <c r="U74" s="106">
        <f t="shared" si="13"/>
      </c>
      <c r="V74" s="106">
        <f t="shared" si="10"/>
      </c>
    </row>
    <row r="75" spans="1:22" ht="60" x14ac:dyDescent="0.2">
      <c r="A75" s="4">
        <f>Questions!$A75</f>
      </c>
      <c r="B75" s="4">
        <f t="shared" si="11"/>
      </c>
      <c r="C75" s="4">
        <f>VLOOKUP($A75,Questions!$A$3:$L$333,2,0)&amp;""</f>
      </c>
      <c r="D75" s="4">
        <f>VLOOKUP($A75,Questions!$A$3:$L$333,11,0)&amp;""</f>
      </c>
      <c r="E75" s="4">
        <f>VLOOKUP($A75,Questions!$A$3:$L$333,12,0)&amp;""</f>
      </c>
      <c r="F75" s="4">
        <f>VLOOKUP($A75,'Institution Evaluation'!$A$56:$K$345,3,0)&amp;""</f>
      </c>
      <c r="G75" s="4">
        <f>VLOOKUP($A75,'Institution Evaluation'!$A$56:$K$345,7,0)&amp;""</f>
      </c>
      <c r="H75" s="4">
        <f>VLOOKUP($A75,'Institution Evaluation'!$A$56:$K$345,8,0)&amp;""</f>
      </c>
      <c r="I75" s="4">
        <f>VLOOKUP($A75,'Institution Evaluation'!$A$56:$K$345,9,0)&amp;""</f>
      </c>
      <c r="J75" s="4">
        <f>VLOOKUP($A75,'Institution Evaluation'!$A$56:$K$345,10,0)&amp;""</f>
      </c>
      <c r="K75" s="4">
        <f>IF($I75='Auto Responses'!$J$11,20,IF($I75='Auto Responses'!$J$13,5,10))</f>
      </c>
      <c r="L75" s="106">
        <f>IF($E75='Auto Responses'!$L$13, 'Auto Responses'!$J$5,IF(AND($D75='Auto Responses'!$J$27,$H75=""),'Auto Responses'!$J$5,IF(AND($D75='Auto Responses'!$J$27,$H75='Auto Responses'!$J$7),1,IF(AND($D75='Auto Responses'!$J$27,$H75='Auto Responses'!$J$8),0,IF(OR(AND($F75=$G75,$H75=""),$H75='Auto Responses'!$J$7),1,0)))))</f>
      </c>
      <c r="M75" s="4">
        <f>VLOOKUP($A75,'Institution Evaluation'!$A$56:$K$345,11,0)&amp;""</f>
      </c>
      <c r="N75" s="4">
        <f>IF($J75='Auto Responses'!$J$11,1,IF(AND($J75="",$I75='Auto Responses'!$J$11),1,0))</f>
      </c>
      <c r="O75" s="106">
        <f>IF(OR($F$17='Auto Responses'!$J$4,$E75='Auto Responses'!$L$13,$F75='Auto Responses'!$J$5),'Auto Responses'!$J$5,IF($J75="",$K75,IF($J75='Auto Responses'!$J$13,5,IF($J75='Auto Responses'!$J$12,10,IF($J75='Auto Responses'!$J$11,20,0)))))</f>
      </c>
      <c r="P75" s="106">
        <f>IF(OR($O75='Auto Responses'!$J$5,$L75='Auto Responses'!$J$5),'Auto Responses'!$J$5,$O75*$L75)</f>
      </c>
      <c r="Q75" s="106">
        <f t="shared" si="7"/>
      </c>
      <c r="R75" s="106">
        <f t="shared" si="12"/>
      </c>
      <c r="S75" s="106">
        <f t="shared" si="8"/>
      </c>
      <c r="T75" s="106">
        <f t="shared" si="9"/>
      </c>
      <c r="U75" s="106">
        <f t="shared" si="13"/>
      </c>
      <c r="V75" s="106">
        <f t="shared" si="10"/>
      </c>
    </row>
    <row r="76" spans="1:22" ht="60" x14ac:dyDescent="0.2">
      <c r="A76" s="4">
        <f>Questions!$A76</f>
      </c>
      <c r="B76" s="4">
        <f t="shared" si="11"/>
      </c>
      <c r="C76" s="4">
        <f>VLOOKUP($A76,Questions!$A$3:$L$333,2,0)&amp;""</f>
      </c>
      <c r="D76" s="4">
        <f>VLOOKUP($A76,Questions!$A$3:$L$333,11,0)&amp;""</f>
      </c>
      <c r="E76" s="4">
        <f>VLOOKUP($A76,Questions!$A$3:$L$333,12,0)&amp;""</f>
      </c>
      <c r="F76" s="4">
        <f>VLOOKUP($A76,'Institution Evaluation'!$A$56:$K$345,3,0)&amp;""</f>
      </c>
      <c r="G76" s="4">
        <f>VLOOKUP($A76,'Institution Evaluation'!$A$56:$K$345,7,0)&amp;""</f>
      </c>
      <c r="H76" s="4">
        <f>VLOOKUP($A76,'Institution Evaluation'!$A$56:$K$345,8,0)&amp;""</f>
      </c>
      <c r="I76" s="4">
        <f>VLOOKUP($A76,'Institution Evaluation'!$A$56:$K$345,9,0)&amp;""</f>
      </c>
      <c r="J76" s="4">
        <f>VLOOKUP($A76,'Institution Evaluation'!$A$56:$K$345,10,0)&amp;""</f>
      </c>
      <c r="K76" s="4">
        <f>IF($I76='Auto Responses'!$J$11,20,IF($I76='Auto Responses'!$J$13,5,10))</f>
      </c>
      <c r="L76" s="106">
        <f>IF($E76='Auto Responses'!$L$13, 'Auto Responses'!$J$5,IF(AND($D76='Auto Responses'!$J$27,$H76=""),'Auto Responses'!$J$5,IF(AND($D76='Auto Responses'!$J$27,$H76='Auto Responses'!$J$7),1,IF(AND($D76='Auto Responses'!$J$27,$H76='Auto Responses'!$J$8),0,IF(OR(AND($F76=$G76,$H76=""),$H76='Auto Responses'!$J$7),1,0)))))</f>
      </c>
      <c r="M76" s="4">
        <f>VLOOKUP($A76,'Institution Evaluation'!$A$56:$K$345,11,0)&amp;""</f>
      </c>
      <c r="N76" s="4">
        <f>IF($J76='Auto Responses'!$J$11,1,IF(AND($J76="",$I76='Auto Responses'!$J$11),1,0))</f>
      </c>
      <c r="O76" s="106">
        <f>IF(OR($F$17='Auto Responses'!$J$4,$E76='Auto Responses'!$L$13,$F76='Auto Responses'!$J$5),'Auto Responses'!$J$5,IF($J76="",$K76,IF($J76='Auto Responses'!$J$13,5,IF($J76='Auto Responses'!$J$12,10,IF($J76='Auto Responses'!$J$11,20,0)))))</f>
      </c>
      <c r="P76" s="106">
        <f>IF(OR($O76='Auto Responses'!$J$5,$L76='Auto Responses'!$J$5),'Auto Responses'!$J$5,$O76*$L76)</f>
      </c>
      <c r="Q76" s="106">
        <f t="shared" si="7"/>
      </c>
      <c r="R76" s="106">
        <f t="shared" si="12"/>
      </c>
      <c r="S76" s="106">
        <f t="shared" si="8"/>
      </c>
      <c r="T76" s="106">
        <f t="shared" si="9"/>
      </c>
      <c r="U76" s="106">
        <f t="shared" si="13"/>
      </c>
      <c r="V76" s="106">
        <f t="shared" si="10"/>
      </c>
    </row>
    <row r="77" spans="1:22" ht="60" x14ac:dyDescent="0.2">
      <c r="A77" s="4">
        <f>Questions!$A77</f>
      </c>
      <c r="B77" s="4">
        <f t="shared" si="11"/>
      </c>
      <c r="C77" s="4">
        <f>VLOOKUP($A77,Questions!$A$3:$L$333,2,0)&amp;""</f>
      </c>
      <c r="D77" s="4">
        <f>VLOOKUP($A77,Questions!$A$3:$L$333,11,0)&amp;""</f>
      </c>
      <c r="E77" s="4">
        <f>VLOOKUP($A77,Questions!$A$3:$L$333,12,0)&amp;""</f>
      </c>
      <c r="F77" s="4">
        <f>VLOOKUP($A77,'Institution Evaluation'!$A$56:$K$345,3,0)&amp;""</f>
      </c>
      <c r="G77" s="4">
        <f>VLOOKUP($A77,'Institution Evaluation'!$A$56:$K$345,7,0)&amp;""</f>
      </c>
      <c r="H77" s="4">
        <f>VLOOKUP($A77,'Institution Evaluation'!$A$56:$K$345,8,0)&amp;""</f>
      </c>
      <c r="I77" s="4">
        <f>VLOOKUP($A77,'Institution Evaluation'!$A$56:$K$345,9,0)&amp;""</f>
      </c>
      <c r="J77" s="4">
        <f>VLOOKUP($A77,'Institution Evaluation'!$A$56:$K$345,10,0)&amp;""</f>
      </c>
      <c r="K77" s="4">
        <f>IF($I77='Auto Responses'!$J$11,20,IF($I77='Auto Responses'!$J$13,5,10))</f>
      </c>
      <c r="L77" s="106">
        <f>IF($E77='Auto Responses'!$L$13, 'Auto Responses'!$J$5,IF(AND($D77='Auto Responses'!$J$27,$H77=""),'Auto Responses'!$J$5,IF(AND($D77='Auto Responses'!$J$27,$H77='Auto Responses'!$J$7),1,IF(AND($D77='Auto Responses'!$J$27,$H77='Auto Responses'!$J$8),0,IF(OR(AND($F77=$G77,$H77=""),$H77='Auto Responses'!$J$7),1,0)))))</f>
      </c>
      <c r="M77" s="4">
        <f>VLOOKUP($A77,'Institution Evaluation'!$A$56:$K$345,11,0)&amp;""</f>
      </c>
      <c r="N77" s="4">
        <f>IF($J77='Auto Responses'!$J$11,1,IF(AND($J77="",$I77='Auto Responses'!$J$11),1,0))</f>
      </c>
      <c r="O77" s="106">
        <f>IF(OR($F$17='Auto Responses'!$J$4,$E77='Auto Responses'!$L$13,$F77='Auto Responses'!$J$5),'Auto Responses'!$J$5,IF($J77="",$K77,IF($J77='Auto Responses'!$J$13,5,IF($J77='Auto Responses'!$J$12,10,IF($J77='Auto Responses'!$J$11,20,0)))))</f>
      </c>
      <c r="P77" s="106">
        <f>IF(OR($O77='Auto Responses'!$J$5,$L77='Auto Responses'!$J$5),'Auto Responses'!$J$5,$O77*$L77)</f>
      </c>
      <c r="Q77" s="106">
        <f t="shared" si="7"/>
      </c>
      <c r="R77" s="106">
        <f t="shared" si="12"/>
      </c>
      <c r="S77" s="106">
        <f t="shared" si="8"/>
      </c>
      <c r="T77" s="106">
        <f t="shared" si="9"/>
      </c>
      <c r="U77" s="106">
        <f t="shared" si="13"/>
      </c>
      <c r="V77" s="106">
        <f t="shared" si="10"/>
      </c>
    </row>
    <row r="78" spans="1:22" ht="60" x14ac:dyDescent="0.2">
      <c r="A78" s="4">
        <f>Questions!$A78</f>
      </c>
      <c r="B78" s="4">
        <f t="shared" si="11"/>
      </c>
      <c r="C78" s="4">
        <f>VLOOKUP($A78,Questions!$A$3:$L$333,2,0)&amp;""</f>
      </c>
      <c r="D78" s="4">
        <f>VLOOKUP($A78,Questions!$A$3:$L$333,11,0)&amp;""</f>
      </c>
      <c r="E78" s="4">
        <f>VLOOKUP($A78,Questions!$A$3:$L$333,12,0)&amp;""</f>
      </c>
      <c r="F78" s="4">
        <f>VLOOKUP($A78,'Institution Evaluation'!$A$56:$K$345,3,0)&amp;""</f>
      </c>
      <c r="G78" s="4">
        <f>VLOOKUP($A78,'Institution Evaluation'!$A$56:$K$345,7,0)&amp;""</f>
      </c>
      <c r="H78" s="4">
        <f>VLOOKUP($A78,'Institution Evaluation'!$A$56:$K$345,8,0)&amp;""</f>
      </c>
      <c r="I78" s="4">
        <f>VLOOKUP($A78,'Institution Evaluation'!$A$56:$K$345,9,0)&amp;""</f>
      </c>
      <c r="J78" s="4">
        <f>VLOOKUP($A78,'Institution Evaluation'!$A$56:$K$345,10,0)&amp;""</f>
      </c>
      <c r="K78" s="4">
        <f>IF($I78='Auto Responses'!$J$11,20,IF($I78='Auto Responses'!$J$13,5,10))</f>
      </c>
      <c r="L78" s="106">
        <f>IF($E78='Auto Responses'!$L$13, 'Auto Responses'!$J$5,IF(AND($D78='Auto Responses'!$J$27,$H78=""),'Auto Responses'!$J$5,IF(AND($D78='Auto Responses'!$J$27,$H78='Auto Responses'!$J$7),1,IF(AND($D78='Auto Responses'!$J$27,$H78='Auto Responses'!$J$8),0,IF(OR(AND($F78=$G78,$H78=""),$H78='Auto Responses'!$J$7),1,0)))))</f>
      </c>
      <c r="M78" s="4">
        <f>VLOOKUP($A78,'Institution Evaluation'!$A$56:$K$345,11,0)&amp;""</f>
      </c>
      <c r="N78" s="4">
        <f>IF($J78='Auto Responses'!$J$11,1,IF(AND($J78="",$I78='Auto Responses'!$J$11),1,0))</f>
      </c>
      <c r="O78" s="106">
        <f>IF(OR($F$17='Auto Responses'!$J$4,$E78='Auto Responses'!$L$13,$F78='Auto Responses'!$J$5),'Auto Responses'!$J$5,IF($J78="",$K78,IF($J78='Auto Responses'!$J$13,5,IF($J78='Auto Responses'!$J$12,10,IF($J78='Auto Responses'!$J$11,20,0)))))</f>
      </c>
      <c r="P78" s="106">
        <f>IF(OR($O78='Auto Responses'!$J$5,$L78='Auto Responses'!$J$5),'Auto Responses'!$J$5,$O78*$L78)</f>
      </c>
      <c r="Q78" s="106">
        <f t="shared" si="7"/>
      </c>
      <c r="R78" s="106">
        <f t="shared" si="12"/>
      </c>
      <c r="S78" s="106">
        <f t="shared" si="8"/>
      </c>
      <c r="T78" s="106">
        <f t="shared" si="9"/>
      </c>
      <c r="U78" s="106">
        <f t="shared" si="13"/>
      </c>
      <c r="V78" s="106">
        <f t="shared" si="10"/>
      </c>
    </row>
    <row r="79" spans="1:22" ht="60" x14ac:dyDescent="0.2">
      <c r="A79" s="4">
        <f>Questions!$A79</f>
      </c>
      <c r="B79" s="4">
        <f t="shared" si="11"/>
      </c>
      <c r="C79" s="4">
        <f>VLOOKUP($A79,Questions!$A$3:$L$333,2,0)&amp;""</f>
      </c>
      <c r="D79" s="4">
        <f>VLOOKUP($A79,Questions!$A$3:$L$333,11,0)&amp;""</f>
      </c>
      <c r="E79" s="4">
        <f>VLOOKUP($A79,Questions!$A$3:$L$333,12,0)&amp;""</f>
      </c>
      <c r="F79" s="4">
        <f>VLOOKUP($A79,'Institution Evaluation'!$A$56:$K$345,3,0)&amp;""</f>
      </c>
      <c r="G79" s="4">
        <f>VLOOKUP($A79,'Institution Evaluation'!$A$56:$K$345,7,0)&amp;""</f>
      </c>
      <c r="H79" s="4">
        <f>VLOOKUP($A79,'Institution Evaluation'!$A$56:$K$345,8,0)&amp;""</f>
      </c>
      <c r="I79" s="4">
        <f>VLOOKUP($A79,'Institution Evaluation'!$A$56:$K$345,9,0)&amp;""</f>
      </c>
      <c r="J79" s="4">
        <f>VLOOKUP($A79,'Institution Evaluation'!$A$56:$K$345,10,0)&amp;""</f>
      </c>
      <c r="K79" s="4">
        <f>IF($I79='Auto Responses'!$J$11,20,IF($I79='Auto Responses'!$J$13,5,10))</f>
      </c>
      <c r="L79" s="106">
        <f>IF($E79='Auto Responses'!$L$13, 'Auto Responses'!$J$5,IF(AND($D79='Auto Responses'!$J$27,$H79=""),'Auto Responses'!$J$5,IF(AND($D79='Auto Responses'!$J$27,$H79='Auto Responses'!$J$7),1,IF(AND($D79='Auto Responses'!$J$27,$H79='Auto Responses'!$J$8),0,IF(OR(AND($F79=$G79,$H79=""),$H79='Auto Responses'!$J$7),1,0)))))</f>
      </c>
      <c r="M79" s="4">
        <f>VLOOKUP($A79,'Institution Evaluation'!$A$56:$K$345,11,0)&amp;""</f>
      </c>
      <c r="N79" s="4">
        <f>IF($J79='Auto Responses'!$J$11,1,IF(AND($J79="",$I79='Auto Responses'!$J$11),1,0))</f>
      </c>
      <c r="O79" s="106">
        <f>IF(OR($F$17='Auto Responses'!$J$4,$E79='Auto Responses'!$L$13,$F79='Auto Responses'!$J$5),'Auto Responses'!$J$5,IF($J79="",$K79,IF($J79='Auto Responses'!$J$13,5,IF($J79='Auto Responses'!$J$12,10,IF($J79='Auto Responses'!$J$11,20,0)))))</f>
      </c>
      <c r="P79" s="106">
        <f>IF(OR($O79='Auto Responses'!$J$5,$L79='Auto Responses'!$J$5),'Auto Responses'!$J$5,$O79*$L79)</f>
      </c>
      <c r="Q79" s="106">
        <f t="shared" si="7"/>
      </c>
      <c r="R79" s="106">
        <f t="shared" si="12"/>
      </c>
      <c r="S79" s="106">
        <f t="shared" si="8"/>
      </c>
      <c r="T79" s="106">
        <f t="shared" si="9"/>
      </c>
      <c r="U79" s="106">
        <f t="shared" si="13"/>
      </c>
      <c r="V79" s="106">
        <f t="shared" si="10"/>
      </c>
    </row>
    <row r="80" spans="1:22" ht="60" x14ac:dyDescent="0.2">
      <c r="A80" s="4">
        <f>Questions!$A80</f>
      </c>
      <c r="B80" s="4">
        <f t="shared" si="11"/>
      </c>
      <c r="C80" s="4">
        <f>VLOOKUP($A80,Questions!$A$3:$L$333,2,0)&amp;""</f>
      </c>
      <c r="D80" s="4">
        <f>VLOOKUP($A80,Questions!$A$3:$L$333,11,0)&amp;""</f>
      </c>
      <c r="E80" s="4">
        <f>VLOOKUP($A80,Questions!$A$3:$L$333,12,0)&amp;""</f>
      </c>
      <c r="F80" s="4">
        <f>VLOOKUP($A80,'Institution Evaluation'!$A$56:$K$345,3,0)&amp;""</f>
      </c>
      <c r="G80" s="4">
        <f>VLOOKUP($A80,'Institution Evaluation'!$A$56:$K$345,7,0)&amp;""</f>
      </c>
      <c r="H80" s="4">
        <f>VLOOKUP($A80,'Institution Evaluation'!$A$56:$K$345,8,0)&amp;""</f>
      </c>
      <c r="I80" s="4">
        <f>VLOOKUP($A80,'Institution Evaluation'!$A$56:$K$345,9,0)&amp;""</f>
      </c>
      <c r="J80" s="4">
        <f>VLOOKUP($A80,'Institution Evaluation'!$A$56:$K$345,10,0)&amp;""</f>
      </c>
      <c r="K80" s="4">
        <f>IF($I80='Auto Responses'!$J$11,20,IF($I80='Auto Responses'!$J$13,5,10))</f>
      </c>
      <c r="L80" s="106">
        <f>IF($E80='Auto Responses'!$L$13, 'Auto Responses'!$J$5,IF(AND($D80='Auto Responses'!$J$27,$H80=""),'Auto Responses'!$J$5,IF(AND($D80='Auto Responses'!$J$27,$H80='Auto Responses'!$J$7),1,IF(AND($D80='Auto Responses'!$J$27,$H80='Auto Responses'!$J$8),0,IF(OR(AND($F80=$G80,$H80=""),$H80='Auto Responses'!$J$7),1,0)))))</f>
      </c>
      <c r="M80" s="4">
        <f>VLOOKUP($A80,'Institution Evaluation'!$A$56:$K$345,11,0)&amp;""</f>
      </c>
      <c r="N80" s="4">
        <f>IF($J80='Auto Responses'!$J$11,1,IF(AND($J80="",$I80='Auto Responses'!$J$11),1,0))</f>
      </c>
      <c r="O80" s="106">
        <f>IF(OR($F$17='Auto Responses'!$J$4,$E80='Auto Responses'!$L$13,$F80='Auto Responses'!$J$5),'Auto Responses'!$J$5,IF($J80="",$K80,IF($J80='Auto Responses'!$J$13,5,IF($J80='Auto Responses'!$J$12,10,IF($J80='Auto Responses'!$J$11,20,0)))))</f>
      </c>
      <c r="P80" s="106">
        <f>IF(OR($O80='Auto Responses'!$J$5,$L80='Auto Responses'!$J$5),'Auto Responses'!$J$5,$O80*$L80)</f>
      </c>
      <c r="Q80" s="106">
        <f t="shared" si="7"/>
      </c>
      <c r="R80" s="106">
        <f t="shared" si="12"/>
      </c>
      <c r="S80" s="106">
        <f t="shared" si="8"/>
      </c>
      <c r="T80" s="106">
        <f t="shared" si="9"/>
      </c>
      <c r="U80" s="106">
        <f t="shared" si="13"/>
      </c>
      <c r="V80" s="106">
        <f t="shared" si="10"/>
      </c>
    </row>
    <row r="81" spans="1:22" ht="60" x14ac:dyDescent="0.2">
      <c r="A81" s="4">
        <f>Questions!$A81</f>
      </c>
      <c r="B81" s="4">
        <f t="shared" si="11"/>
      </c>
      <c r="C81" s="4">
        <f>VLOOKUP($A81,Questions!$A$3:$L$333,2,0)&amp;""</f>
      </c>
      <c r="D81" s="4">
        <f>VLOOKUP($A81,Questions!$A$3:$L$333,11,0)&amp;""</f>
      </c>
      <c r="E81" s="4">
        <f>VLOOKUP($A81,Questions!$A$3:$L$333,12,0)&amp;""</f>
      </c>
      <c r="F81" s="4">
        <f>VLOOKUP($A81,'Institution Evaluation'!$A$56:$K$345,3,0)&amp;""</f>
      </c>
      <c r="G81" s="4">
        <f>VLOOKUP($A81,'Institution Evaluation'!$A$56:$K$345,7,0)&amp;""</f>
      </c>
      <c r="H81" s="4">
        <f>VLOOKUP($A81,'Institution Evaluation'!$A$56:$K$345,8,0)&amp;""</f>
      </c>
      <c r="I81" s="4">
        <f>VLOOKUP($A81,'Institution Evaluation'!$A$56:$K$345,9,0)&amp;""</f>
      </c>
      <c r="J81" s="4">
        <f>VLOOKUP($A81,'Institution Evaluation'!$A$56:$K$345,10,0)&amp;""</f>
      </c>
      <c r="K81" s="4">
        <f>IF($I81='Auto Responses'!$J$11,20,IF($I81='Auto Responses'!$J$13,5,10))</f>
      </c>
      <c r="L81" s="106">
        <f>IF($E81='Auto Responses'!$L$13, 'Auto Responses'!$J$5,IF(AND($D81='Auto Responses'!$J$27,$H81=""),'Auto Responses'!$J$5,IF(AND($D81='Auto Responses'!$J$27,$H81='Auto Responses'!$J$7),1,IF(AND($D81='Auto Responses'!$J$27,$H81='Auto Responses'!$J$8),0,IF(OR(AND($F81=$G81,$H81=""),$H81='Auto Responses'!$J$7),1,0)))))</f>
      </c>
      <c r="M81" s="4">
        <f>VLOOKUP($A81,'Institution Evaluation'!$A$56:$K$345,11,0)&amp;""</f>
      </c>
      <c r="N81" s="4">
        <f>IF($J81='Auto Responses'!$J$11,1,IF(AND($J81="",$I81='Auto Responses'!$J$11),1,0))</f>
      </c>
      <c r="O81" s="106">
        <f>IF(OR($F$17='Auto Responses'!$J$4,$E81='Auto Responses'!$L$13,$F81='Auto Responses'!$J$5),'Auto Responses'!$J$5,IF($J81="",$K81,IF($J81='Auto Responses'!$J$13,5,IF($J81='Auto Responses'!$J$12,10,IF($J81='Auto Responses'!$J$11,20,0)))))</f>
      </c>
      <c r="P81" s="106">
        <f>IF(OR($O81='Auto Responses'!$J$5,$L81='Auto Responses'!$J$5),'Auto Responses'!$J$5,$O81*$L81)</f>
      </c>
      <c r="Q81" s="106">
        <f t="shared" si="7"/>
      </c>
      <c r="R81" s="106">
        <f t="shared" si="12"/>
      </c>
      <c r="S81" s="106">
        <f t="shared" si="8"/>
      </c>
      <c r="T81" s="106">
        <f t="shared" si="9"/>
      </c>
      <c r="U81" s="106">
        <f t="shared" si="13"/>
      </c>
      <c r="V81" s="106">
        <f t="shared" si="10"/>
      </c>
    </row>
    <row r="82" spans="1:22" ht="60" x14ac:dyDescent="0.2">
      <c r="A82" s="4">
        <f>Questions!$A82</f>
      </c>
      <c r="B82" s="4">
        <f t="shared" si="11"/>
      </c>
      <c r="C82" s="4">
        <f>VLOOKUP($A82,Questions!$A$3:$L$333,2,0)&amp;""</f>
      </c>
      <c r="D82" s="4">
        <f>VLOOKUP($A82,Questions!$A$3:$L$333,11,0)&amp;""</f>
      </c>
      <c r="E82" s="4">
        <f>VLOOKUP($A82,Questions!$A$3:$L$333,12,0)&amp;""</f>
      </c>
      <c r="F82" s="4">
        <f>VLOOKUP($A82,'Institution Evaluation'!$A$56:$K$345,3,0)&amp;""</f>
      </c>
      <c r="G82" s="4">
        <f>VLOOKUP($A82,'Institution Evaluation'!$A$56:$K$345,7,0)&amp;""</f>
      </c>
      <c r="H82" s="4">
        <f>VLOOKUP($A82,'Institution Evaluation'!$A$56:$K$345,8,0)&amp;""</f>
      </c>
      <c r="I82" s="4">
        <f>VLOOKUP($A82,'Institution Evaluation'!$A$56:$K$345,9,0)&amp;""</f>
      </c>
      <c r="J82" s="4">
        <f>VLOOKUP($A82,'Institution Evaluation'!$A$56:$K$345,10,0)&amp;""</f>
      </c>
      <c r="K82" s="4">
        <f>IF($I82='Auto Responses'!$J$11,20,IF($I82='Auto Responses'!$J$13,5,10))</f>
      </c>
      <c r="L82" s="106">
        <f>IF($E82='Auto Responses'!$L$13, 'Auto Responses'!$J$5,IF(AND($D82='Auto Responses'!$J$27,$H82=""),'Auto Responses'!$J$5,IF(AND($D82='Auto Responses'!$J$27,$H82='Auto Responses'!$J$7),1,IF(AND($D82='Auto Responses'!$J$27,$H82='Auto Responses'!$J$8),0,IF(OR(AND($F82=$G82,$H82=""),$H82='Auto Responses'!$J$7),1,0)))))</f>
      </c>
      <c r="M82" s="4">
        <f>VLOOKUP($A82,'Institution Evaluation'!$A$56:$K$345,11,0)&amp;""</f>
      </c>
      <c r="N82" s="4">
        <f>IF($J82='Auto Responses'!$J$11,1,IF(AND($J82="",$I82='Auto Responses'!$J$11),1,0))</f>
      </c>
      <c r="O82" s="106">
        <f>IF(OR($F$17='Auto Responses'!$J$4,$E82='Auto Responses'!$L$13,$F82='Auto Responses'!$J$5),'Auto Responses'!$J$5,IF($J82="",$K82,IF($J82='Auto Responses'!$J$13,5,IF($J82='Auto Responses'!$J$12,10,IF($J82='Auto Responses'!$J$11,20,0)))))</f>
      </c>
      <c r="P82" s="106">
        <f>IF(OR($O82='Auto Responses'!$J$5,$L82='Auto Responses'!$J$5),'Auto Responses'!$J$5,$O82*$L82)</f>
      </c>
      <c r="Q82" s="106">
        <f t="shared" si="7"/>
      </c>
      <c r="R82" s="106">
        <f t="shared" si="12"/>
      </c>
      <c r="S82" s="106">
        <f t="shared" si="8"/>
      </c>
      <c r="T82" s="106">
        <f t="shared" si="9"/>
      </c>
      <c r="U82" s="106">
        <f t="shared" si="13"/>
      </c>
      <c r="V82" s="106">
        <f t="shared" si="10"/>
      </c>
    </row>
    <row r="83" spans="1:22" ht="60" x14ac:dyDescent="0.2">
      <c r="A83" s="4">
        <f>Questions!$A83</f>
      </c>
      <c r="B83" s="4">
        <f t="shared" si="11"/>
      </c>
      <c r="C83" s="4">
        <f>VLOOKUP($A83,Questions!$A$3:$L$333,2,0)&amp;""</f>
      </c>
      <c r="D83" s="4">
        <f>VLOOKUP($A83,Questions!$A$3:$L$333,11,0)&amp;""</f>
      </c>
      <c r="E83" s="4">
        <f>VLOOKUP($A83,Questions!$A$3:$L$333,12,0)&amp;""</f>
      </c>
      <c r="F83" s="4">
        <f>VLOOKUP($A83,'Institution Evaluation'!$A$56:$K$345,3,0)&amp;""</f>
      </c>
      <c r="G83" s="4">
        <f>VLOOKUP($A83,'Institution Evaluation'!$A$56:$K$345,7,0)&amp;""</f>
      </c>
      <c r="H83" s="4">
        <f>VLOOKUP($A83,'Institution Evaluation'!$A$56:$K$345,8,0)&amp;""</f>
      </c>
      <c r="I83" s="4">
        <f>VLOOKUP($A83,'Institution Evaluation'!$A$56:$K$345,9,0)&amp;""</f>
      </c>
      <c r="J83" s="4">
        <f>VLOOKUP($A83,'Institution Evaluation'!$A$56:$K$345,10,0)&amp;""</f>
      </c>
      <c r="K83" s="4">
        <f>IF($I83='Auto Responses'!$J$11,20,IF($I83='Auto Responses'!$J$13,5,10))</f>
      </c>
      <c r="L83" s="106">
        <f>IF($E83='Auto Responses'!$L$13, 'Auto Responses'!$J$5,IF(AND($D83='Auto Responses'!$J$27,$H83=""),'Auto Responses'!$J$5,IF(AND($D83='Auto Responses'!$J$27,$H83='Auto Responses'!$J$7),1,IF(AND($D83='Auto Responses'!$J$27,$H83='Auto Responses'!$J$8),0,IF(OR(AND($F83=$G83,$H83=""),$H83='Auto Responses'!$J$7),1,0)))))</f>
      </c>
      <c r="M83" s="4">
        <f>VLOOKUP($A83,'Institution Evaluation'!$A$56:$K$345,11,0)&amp;""</f>
      </c>
      <c r="N83" s="4">
        <f>IF($J83='Auto Responses'!$J$11,1,IF(AND($J83="",$I83='Auto Responses'!$J$11),1,0))</f>
      </c>
      <c r="O83" s="106">
        <f>IF(OR($F$17='Auto Responses'!$J$4,$E83='Auto Responses'!$L$13,$F83='Auto Responses'!$J$5),'Auto Responses'!$J$5,IF($J83="",$K83,IF($J83='Auto Responses'!$J$13,5,IF($J83='Auto Responses'!$J$12,10,IF($J83='Auto Responses'!$J$11,20,0)))))</f>
      </c>
      <c r="P83" s="106">
        <f>IF(OR($O83='Auto Responses'!$J$5,$L83='Auto Responses'!$J$5),'Auto Responses'!$J$5,$O83*$L83)</f>
      </c>
      <c r="Q83" s="106">
        <f t="shared" si="7"/>
      </c>
      <c r="R83" s="106">
        <f t="shared" si="12"/>
      </c>
      <c r="S83" s="106">
        <f t="shared" si="8"/>
      </c>
      <c r="T83" s="106">
        <f t="shared" si="9"/>
      </c>
      <c r="U83" s="106">
        <f t="shared" si="13"/>
      </c>
      <c r="V83" s="106">
        <f t="shared" si="10"/>
      </c>
    </row>
    <row r="84" spans="1:22" ht="60" x14ac:dyDescent="0.2">
      <c r="A84" s="4">
        <f>Questions!$A84</f>
      </c>
      <c r="B84" s="4">
        <f t="shared" si="11"/>
      </c>
      <c r="C84" s="4">
        <f>VLOOKUP($A84,Questions!$A$3:$L$333,2,0)&amp;""</f>
      </c>
      <c r="D84" s="4">
        <f>VLOOKUP($A84,Questions!$A$3:$L$333,11,0)&amp;""</f>
      </c>
      <c r="E84" s="4">
        <f>VLOOKUP($A84,Questions!$A$3:$L$333,12,0)&amp;""</f>
      </c>
      <c r="F84" s="4">
        <f>VLOOKUP($A84,'Institution Evaluation'!$A$56:$K$345,3,0)&amp;""</f>
      </c>
      <c r="G84" s="4">
        <f>VLOOKUP($A84,'Institution Evaluation'!$A$56:$K$345,7,0)&amp;""</f>
      </c>
      <c r="H84" s="4">
        <f>VLOOKUP($A84,'Institution Evaluation'!$A$56:$K$345,8,0)&amp;""</f>
      </c>
      <c r="I84" s="4">
        <f>VLOOKUP($A84,'Institution Evaluation'!$A$56:$K$345,9,0)&amp;""</f>
      </c>
      <c r="J84" s="4">
        <f>VLOOKUP($A84,'Institution Evaluation'!$A$56:$K$345,10,0)&amp;""</f>
      </c>
      <c r="K84" s="4">
        <f>IF($I84='Auto Responses'!$J$11,20,IF($I84='Auto Responses'!$J$13,5,10))</f>
      </c>
      <c r="L84" s="106">
        <f>IF($E84='Auto Responses'!$L$13, 'Auto Responses'!$J$5,IF(AND($D84='Auto Responses'!$J$27,$H84=""),'Auto Responses'!$J$5,IF(AND($D84='Auto Responses'!$J$27,$H84='Auto Responses'!$J$7),1,IF(AND($D84='Auto Responses'!$J$27,$H84='Auto Responses'!$J$8),0,IF(OR(AND($F84=$G84,$H84=""),$H84='Auto Responses'!$J$7),1,0)))))</f>
      </c>
      <c r="M84" s="4">
        <f>VLOOKUP($A84,'Institution Evaluation'!$A$56:$K$345,11,0)&amp;""</f>
      </c>
      <c r="N84" s="4">
        <f>IF($J84='Auto Responses'!$J$11,1,IF(AND($J84="",$I84='Auto Responses'!$J$11),1,0))</f>
      </c>
      <c r="O84" s="106">
        <f>IF(OR($F$17='Auto Responses'!$J$4,$E84='Auto Responses'!$L$13,$F84='Auto Responses'!$J$5),'Auto Responses'!$J$5,IF($J84="",$K84,IF($J84='Auto Responses'!$J$13,5,IF($J84='Auto Responses'!$J$12,10,IF($J84='Auto Responses'!$J$11,20,0)))))</f>
      </c>
      <c r="P84" s="106">
        <f>IF(OR($O84='Auto Responses'!$J$5,$L84='Auto Responses'!$J$5),'Auto Responses'!$J$5,$O84*$L84)</f>
      </c>
      <c r="Q84" s="106">
        <f t="shared" si="7"/>
      </c>
      <c r="R84" s="106">
        <f t="shared" si="12"/>
      </c>
      <c r="S84" s="106">
        <f t="shared" si="8"/>
      </c>
      <c r="T84" s="106">
        <f t="shared" si="9"/>
      </c>
      <c r="U84" s="106">
        <f t="shared" si="13"/>
      </c>
      <c r="V84" s="106">
        <f t="shared" si="10"/>
      </c>
    </row>
    <row r="85" spans="1:22" ht="60" x14ac:dyDescent="0.2">
      <c r="A85" s="4">
        <f>Questions!$A85</f>
      </c>
      <c r="B85" s="4">
        <f t="shared" si="11"/>
      </c>
      <c r="C85" s="4">
        <f>VLOOKUP($A85,Questions!$A$3:$L$333,2,0)&amp;""</f>
      </c>
      <c r="D85" s="4">
        <f>VLOOKUP($A85,Questions!$A$3:$L$333,11,0)&amp;""</f>
      </c>
      <c r="E85" s="4">
        <f>VLOOKUP($A85,Questions!$A$3:$L$333,12,0)&amp;""</f>
      </c>
      <c r="F85" s="4">
        <f>VLOOKUP($A85,'Institution Evaluation'!$A$56:$K$345,3,0)&amp;""</f>
      </c>
      <c r="G85" s="4">
        <f>VLOOKUP($A85,'Institution Evaluation'!$A$56:$K$345,7,0)&amp;""</f>
      </c>
      <c r="H85" s="4">
        <f>VLOOKUP($A85,'Institution Evaluation'!$A$56:$K$345,8,0)&amp;""</f>
      </c>
      <c r="I85" s="4">
        <f>VLOOKUP($A85,'Institution Evaluation'!$A$56:$K$345,9,0)&amp;""</f>
      </c>
      <c r="J85" s="4">
        <f>VLOOKUP($A85,'Institution Evaluation'!$A$56:$K$345,10,0)&amp;""</f>
      </c>
      <c r="K85" s="4">
        <f>IF($I85='Auto Responses'!$J$11,20,IF($I85='Auto Responses'!$J$13,5,10))</f>
      </c>
      <c r="L85" s="106">
        <f>IF($E85='Auto Responses'!$L$13, 'Auto Responses'!$J$5,IF(AND($D85='Auto Responses'!$J$27,$H85=""),'Auto Responses'!$J$5,IF(AND($D85='Auto Responses'!$J$27,$H85='Auto Responses'!$J$7),1,IF(AND($D85='Auto Responses'!$J$27,$H85='Auto Responses'!$J$8),0,IF(OR(AND($F85=$G85,$H85=""),$H85='Auto Responses'!$J$7),1,0)))))</f>
      </c>
      <c r="M85" s="4">
        <f>VLOOKUP($A85,'Institution Evaluation'!$A$56:$K$345,11,0)&amp;""</f>
      </c>
      <c r="N85" s="4">
        <f>IF($J85='Auto Responses'!$J$11,1,IF(AND($J85="",$I85='Auto Responses'!$J$11),1,0))</f>
      </c>
      <c r="O85" s="106">
        <f>IF(OR($F$17='Auto Responses'!$J$4,$E85='Auto Responses'!$L$13,$F85='Auto Responses'!$J$5),'Auto Responses'!$J$5,IF($J85="",$K85,IF($J85='Auto Responses'!$J$13,5,IF($J85='Auto Responses'!$J$12,10,IF($J85='Auto Responses'!$J$11,20,0)))))</f>
      </c>
      <c r="P85" s="106">
        <f>IF(OR($O85='Auto Responses'!$J$5,$L85='Auto Responses'!$J$5),'Auto Responses'!$J$5,$O85*$L85)</f>
      </c>
      <c r="Q85" s="106">
        <f t="shared" si="7"/>
      </c>
      <c r="R85" s="106">
        <f t="shared" si="12"/>
      </c>
      <c r="S85" s="106">
        <f t="shared" si="8"/>
      </c>
      <c r="T85" s="106">
        <f t="shared" si="9"/>
      </c>
      <c r="U85" s="106">
        <f t="shared" si="13"/>
      </c>
      <c r="V85" s="106">
        <f t="shared" si="10"/>
      </c>
    </row>
    <row r="86" spans="1:22" ht="60" x14ac:dyDescent="0.2">
      <c r="A86" s="4">
        <f>Questions!$A86</f>
      </c>
      <c r="B86" s="4">
        <f t="shared" si="11"/>
      </c>
      <c r="C86" s="4">
        <f>VLOOKUP($A86,Questions!$A$3:$L$333,2,0)&amp;""</f>
      </c>
      <c r="D86" s="4">
        <f>VLOOKUP($A86,Questions!$A$3:$L$333,11,0)&amp;""</f>
      </c>
      <c r="E86" s="4">
        <f>VLOOKUP($A86,Questions!$A$3:$L$333,12,0)&amp;""</f>
      </c>
      <c r="F86" s="4">
        <f>VLOOKUP($A86,'Institution Evaluation'!$A$56:$K$345,3,0)&amp;""</f>
      </c>
      <c r="G86" s="4">
        <f>VLOOKUP($A86,'Institution Evaluation'!$A$56:$K$345,7,0)&amp;""</f>
      </c>
      <c r="H86" s="4">
        <f>VLOOKUP($A86,'Institution Evaluation'!$A$56:$K$345,8,0)&amp;""</f>
      </c>
      <c r="I86" s="4">
        <f>VLOOKUP($A86,'Institution Evaluation'!$A$56:$K$345,9,0)&amp;""</f>
      </c>
      <c r="J86" s="4">
        <f>VLOOKUP($A86,'Institution Evaluation'!$A$56:$K$345,10,0)&amp;""</f>
      </c>
      <c r="K86" s="4">
        <f>IF($I86='Auto Responses'!$J$11,20,IF($I86='Auto Responses'!$J$13,5,10))</f>
      </c>
      <c r="L86" s="106">
        <f>IF($E86='Auto Responses'!$L$13, 'Auto Responses'!$J$5,IF(AND($D86='Auto Responses'!$J$27,$H86=""),'Auto Responses'!$J$5,IF(AND($D86='Auto Responses'!$J$27,$H86='Auto Responses'!$J$7),1,IF(AND($D86='Auto Responses'!$J$27,$H86='Auto Responses'!$J$8),0,IF(OR(AND($F86=$G86,$H86=""),$H86='Auto Responses'!$J$7),1,0)))))</f>
      </c>
      <c r="M86" s="4">
        <f>VLOOKUP($A86,'Institution Evaluation'!$A$56:$K$345,11,0)&amp;""</f>
      </c>
      <c r="N86" s="4">
        <f>IF($J86='Auto Responses'!$J$11,1,IF(AND($J86="",$I86='Auto Responses'!$J$11),1,0))</f>
      </c>
      <c r="O86" s="106">
        <f>IF(OR($F$17='Auto Responses'!$J$4,$E86='Auto Responses'!$L$13,$F86='Auto Responses'!$J$5),'Auto Responses'!$J$5,IF($J86="",$K86,IF($J86='Auto Responses'!$J$13,5,IF($J86='Auto Responses'!$J$12,10,IF($J86='Auto Responses'!$J$11,20,0)))))</f>
      </c>
      <c r="P86" s="106">
        <f>IF(OR($O86='Auto Responses'!$J$5,$L86='Auto Responses'!$J$5),'Auto Responses'!$J$5,$O86*$L86)</f>
      </c>
      <c r="Q86" s="106">
        <f t="shared" si="7"/>
      </c>
      <c r="R86" s="106">
        <f t="shared" si="12"/>
      </c>
      <c r="S86" s="106">
        <f t="shared" si="8"/>
      </c>
      <c r="T86" s="106">
        <f t="shared" si="9"/>
      </c>
      <c r="U86" s="106">
        <f t="shared" si="13"/>
      </c>
      <c r="V86" s="106">
        <f t="shared" si="10"/>
      </c>
    </row>
    <row r="87" spans="1:22" ht="342" x14ac:dyDescent="0.2">
      <c r="A87" s="4">
        <f>Questions!$A87</f>
      </c>
      <c r="B87" s="4">
        <f t="shared" si="11"/>
      </c>
      <c r="C87" s="4">
        <f>VLOOKUP($A87,Questions!$A$3:$L$333,2,0)&amp;""</f>
      </c>
      <c r="D87" s="4">
        <f>VLOOKUP($A87,Questions!$A$3:$L$333,11,0)&amp;""</f>
      </c>
      <c r="E87" s="4">
        <f>VLOOKUP($A87,Questions!$A$3:$L$333,12,0)&amp;""</f>
      </c>
      <c r="F87" s="4">
        <f>VLOOKUP($A87,'Institution Evaluation'!$A$56:$K$345,3,0)&amp;""</f>
      </c>
      <c r="G87" s="4">
        <f>VLOOKUP($A87,'Institution Evaluation'!$A$56:$K$345,7,0)&amp;""</f>
      </c>
      <c r="H87" s="4">
        <f>VLOOKUP($A87,'Institution Evaluation'!$A$56:$K$345,8,0)&amp;""</f>
      </c>
      <c r="I87" s="4">
        <f>VLOOKUP($A87,'Institution Evaluation'!$A$56:$K$345,9,0)&amp;""</f>
      </c>
      <c r="J87" s="4">
        <f>VLOOKUP($A87,'Institution Evaluation'!$A$56:$K$345,10,0)&amp;""</f>
      </c>
      <c r="K87" s="4">
        <f>IF($I87='Auto Responses'!$J$11,20,IF($I87='Auto Responses'!$J$13,5,10))</f>
      </c>
      <c r="L87" s="106">
        <f>IF($E87='Auto Responses'!$L$13, 'Auto Responses'!$J$5,IF(AND($D87='Auto Responses'!$J$27,$H87=""),'Auto Responses'!$J$5,IF(AND($D87='Auto Responses'!$J$27,$H87='Auto Responses'!$J$7),1,IF(AND($D87='Auto Responses'!$J$27,$H87='Auto Responses'!$J$8),0,IF(OR(AND($F87=$G87,$H87=""),$H87='Auto Responses'!$J$7),1,0)))))</f>
      </c>
      <c r="M87" s="4">
        <f>VLOOKUP($A87,'Institution Evaluation'!$A$56:$K$345,11,0)&amp;""</f>
      </c>
      <c r="N87" s="4">
        <f>IF($J87='Auto Responses'!$J$11,1,IF(AND($J87="",$I87='Auto Responses'!$J$11),1,0))</f>
      </c>
      <c r="O87" s="106">
        <f>IF(OR($F$17='Auto Responses'!$J$4,$E87='Auto Responses'!$L$13,$F87='Auto Responses'!$J$5),'Auto Responses'!$J$5,IF($J87="",$K87,IF($J87='Auto Responses'!$J$13,5,IF($J87='Auto Responses'!$J$12,10,IF($J87='Auto Responses'!$J$11,20,0)))))</f>
      </c>
      <c r="P87" s="106">
        <f>IF(OR($O87='Auto Responses'!$J$5,$L87='Auto Responses'!$J$5),'Auto Responses'!$J$5,$O87*$L87)</f>
      </c>
      <c r="Q87" s="106">
        <f t="shared" si="7"/>
      </c>
      <c r="R87" s="106">
        <f t="shared" si="12"/>
      </c>
      <c r="S87" s="106">
        <f t="shared" si="8"/>
      </c>
      <c r="T87" s="106">
        <f t="shared" si="9"/>
      </c>
      <c r="U87" s="106">
        <f t="shared" si="13"/>
      </c>
      <c r="V87" s="106">
        <f t="shared" si="10"/>
      </c>
    </row>
    <row r="88" spans="1:22" ht="60" x14ac:dyDescent="0.2">
      <c r="A88" s="4">
        <f>Questions!$A88</f>
      </c>
      <c r="B88" s="4">
        <f t="shared" si="11"/>
      </c>
      <c r="C88" s="4">
        <f>VLOOKUP($A88,Questions!$A$3:$L$333,2,0)&amp;""</f>
      </c>
      <c r="D88" s="4">
        <f>VLOOKUP($A88,Questions!$A$3:$L$333,11,0)&amp;""</f>
      </c>
      <c r="E88" s="4">
        <f>VLOOKUP($A88,Questions!$A$3:$L$333,12,0)&amp;""</f>
      </c>
      <c r="F88" s="4">
        <f>VLOOKUP($A88,'Institution Evaluation'!$A$56:$K$345,3,0)&amp;""</f>
      </c>
      <c r="G88" s="4">
        <f>VLOOKUP($A88,'Institution Evaluation'!$A$56:$K$345,7,0)&amp;""</f>
      </c>
      <c r="H88" s="4">
        <f>VLOOKUP($A88,'Institution Evaluation'!$A$56:$K$345,8,0)&amp;""</f>
      </c>
      <c r="I88" s="4">
        <f>VLOOKUP($A88,'Institution Evaluation'!$A$56:$K$345,9,0)&amp;""</f>
      </c>
      <c r="J88" s="4">
        <f>VLOOKUP($A88,'Institution Evaluation'!$A$56:$K$345,10,0)&amp;""</f>
      </c>
      <c r="K88" s="4">
        <f>IF($I88='Auto Responses'!$J$11,20,IF($I88='Auto Responses'!$J$13,5,10))</f>
      </c>
      <c r="L88" s="106">
        <f>IF($E88='Auto Responses'!$L$13, 'Auto Responses'!$J$5,IF(AND($D88='Auto Responses'!$J$27,$H88=""),'Auto Responses'!$J$5,IF(AND($D88='Auto Responses'!$J$27,$H88='Auto Responses'!$J$7),1,IF(AND($D88='Auto Responses'!$J$27,$H88='Auto Responses'!$J$8),0,IF(OR(AND($F88=$G88,$H88=""),$H88='Auto Responses'!$J$7),1,0)))))</f>
      </c>
      <c r="M88" s="4">
        <f>VLOOKUP($A88,'Institution Evaluation'!$A$56:$K$345,11,0)&amp;""</f>
      </c>
      <c r="N88" s="4">
        <f>IF($J88='Auto Responses'!$J$11,1,IF(AND($J88="",$I88='Auto Responses'!$J$11),1,0))</f>
      </c>
      <c r="O88" s="106">
        <f>IF(OR($F$17='Auto Responses'!$J$4,$E88='Auto Responses'!$L$13,$F88='Auto Responses'!$J$5),'Auto Responses'!$J$5,IF($J88="",$K88,IF($J88='Auto Responses'!$J$13,5,IF($J88='Auto Responses'!$J$12,10,IF($J88='Auto Responses'!$J$11,20,0)))))</f>
      </c>
      <c r="P88" s="106">
        <f>IF(OR($O88='Auto Responses'!$J$5,$L88='Auto Responses'!$J$5),'Auto Responses'!$J$5,$O88*$L88)</f>
      </c>
      <c r="Q88" s="106">
        <f t="shared" si="7"/>
      </c>
      <c r="R88" s="106">
        <f t="shared" si="12"/>
      </c>
      <c r="S88" s="106">
        <f t="shared" si="8"/>
      </c>
      <c r="T88" s="106">
        <f t="shared" si="9"/>
      </c>
      <c r="U88" s="106">
        <f t="shared" si="13"/>
      </c>
      <c r="V88" s="106">
        <f t="shared" si="10"/>
      </c>
    </row>
    <row r="89" spans="1:22" ht="60" x14ac:dyDescent="0.2">
      <c r="A89" s="4">
        <f>Questions!$A89</f>
      </c>
      <c r="B89" s="4">
        <f t="shared" si="11"/>
      </c>
      <c r="C89" s="4">
        <f>VLOOKUP($A89,Questions!$A$3:$L$333,2,0)&amp;""</f>
      </c>
      <c r="D89" s="4">
        <f>VLOOKUP($A89,Questions!$A$3:$L$333,11,0)&amp;""</f>
      </c>
      <c r="E89" s="4">
        <f>VLOOKUP($A89,Questions!$A$3:$L$333,12,0)&amp;""</f>
      </c>
      <c r="F89" s="4">
        <f>VLOOKUP($A89,'Institution Evaluation'!$A$56:$K$345,3,0)&amp;""</f>
      </c>
      <c r="G89" s="4">
        <f>VLOOKUP($A89,'Institution Evaluation'!$A$56:$K$345,7,0)&amp;""</f>
      </c>
      <c r="H89" s="4">
        <f>VLOOKUP($A89,'Institution Evaluation'!$A$56:$K$345,8,0)&amp;""</f>
      </c>
      <c r="I89" s="4">
        <f>VLOOKUP($A89,'Institution Evaluation'!$A$56:$K$345,9,0)&amp;""</f>
      </c>
      <c r="J89" s="4">
        <f>VLOOKUP($A89,'Institution Evaluation'!$A$56:$K$345,10,0)&amp;""</f>
      </c>
      <c r="K89" s="4">
        <f>IF($I89='Auto Responses'!$J$11,20,IF($I89='Auto Responses'!$J$13,5,10))</f>
      </c>
      <c r="L89" s="106">
        <f>IF($E89='Auto Responses'!$L$13, 'Auto Responses'!$J$5,IF(AND($D89='Auto Responses'!$J$27,$H89=""),'Auto Responses'!$J$5,IF(AND($D89='Auto Responses'!$J$27,$H89='Auto Responses'!$J$7),1,IF(AND($D89='Auto Responses'!$J$27,$H89='Auto Responses'!$J$8),0,IF(OR(AND($F89=$G89,$H89=""),$H89='Auto Responses'!$J$7),1,0)))))</f>
      </c>
      <c r="M89" s="4">
        <f>VLOOKUP($A89,'Institution Evaluation'!$A$56:$K$345,11,0)&amp;""</f>
      </c>
      <c r="N89" s="4">
        <f>IF($J89='Auto Responses'!$J$11,1,IF(AND($J89="",$I89='Auto Responses'!$J$11),1,0))</f>
      </c>
      <c r="O89" s="106">
        <f>IF(OR($F$17='Auto Responses'!$J$4,$E89='Auto Responses'!$L$13,$F89='Auto Responses'!$J$5),'Auto Responses'!$J$5,IF($J89="",$K89,IF($J89='Auto Responses'!$J$13,5,IF($J89='Auto Responses'!$J$12,10,IF($J89='Auto Responses'!$J$11,20,0)))))</f>
      </c>
      <c r="P89" s="106">
        <f>IF(OR($O89='Auto Responses'!$J$5,$L89='Auto Responses'!$J$5),'Auto Responses'!$J$5,$O89*$L89)</f>
      </c>
      <c r="Q89" s="106">
        <f t="shared" si="7"/>
      </c>
      <c r="R89" s="106">
        <f t="shared" si="12"/>
      </c>
      <c r="S89" s="106">
        <f t="shared" si="8"/>
      </c>
      <c r="T89" s="106">
        <f t="shared" si="9"/>
      </c>
      <c r="U89" s="106">
        <f t="shared" si="13"/>
      </c>
      <c r="V89" s="106">
        <f t="shared" si="10"/>
      </c>
    </row>
    <row r="90" spans="1:22" ht="60" x14ac:dyDescent="0.2">
      <c r="A90" s="4">
        <f>Questions!$A90</f>
      </c>
      <c r="B90" s="4">
        <f t="shared" si="11"/>
      </c>
      <c r="C90" s="4">
        <f>VLOOKUP($A90,Questions!$A$3:$L$333,2,0)&amp;""</f>
      </c>
      <c r="D90" s="4">
        <f>VLOOKUP($A90,Questions!$A$3:$L$333,11,0)&amp;""</f>
      </c>
      <c r="E90" s="4">
        <f>VLOOKUP($A90,Questions!$A$3:$L$333,12,0)&amp;""</f>
      </c>
      <c r="F90" s="4">
        <f>VLOOKUP($A90,'Institution Evaluation'!$A$56:$K$345,3,0)&amp;""</f>
      </c>
      <c r="G90" s="4">
        <f>VLOOKUP($A90,'Institution Evaluation'!$A$56:$K$345,7,0)&amp;""</f>
      </c>
      <c r="H90" s="4">
        <f>VLOOKUP($A90,'Institution Evaluation'!$A$56:$K$345,8,0)&amp;""</f>
      </c>
      <c r="I90" s="4">
        <f>VLOOKUP($A90,'Institution Evaluation'!$A$56:$K$345,9,0)&amp;""</f>
      </c>
      <c r="J90" s="4">
        <f>VLOOKUP($A90,'Institution Evaluation'!$A$56:$K$345,10,0)&amp;""</f>
      </c>
      <c r="K90" s="4">
        <f>IF($I90='Auto Responses'!$J$11,20,IF($I90='Auto Responses'!$J$13,5,10))</f>
      </c>
      <c r="L90" s="106">
        <f>IF($E90='Auto Responses'!$L$13, 'Auto Responses'!$J$5,IF(AND($D90='Auto Responses'!$J$27,$H90=""),'Auto Responses'!$J$5,IF(AND($D90='Auto Responses'!$J$27,$H90='Auto Responses'!$J$7),1,IF(AND($D90='Auto Responses'!$J$27,$H90='Auto Responses'!$J$8),0,IF(OR(AND($F90=$G90,$H90=""),$H90='Auto Responses'!$J$7),1,0)))))</f>
      </c>
      <c r="M90" s="4">
        <f>VLOOKUP($A90,'Institution Evaluation'!$A$56:$K$345,11,0)&amp;""</f>
      </c>
      <c r="N90" s="4">
        <f>IF($J90='Auto Responses'!$J$11,1,IF(AND($J90="",$I90='Auto Responses'!$J$11),1,0))</f>
      </c>
      <c r="O90" s="106">
        <f>IF(OR($F$17='Auto Responses'!$J$4,$E90='Auto Responses'!$L$13,$F90='Auto Responses'!$J$5),'Auto Responses'!$J$5,IF($J90="",$K90,IF($J90='Auto Responses'!$J$13,5,IF($J90='Auto Responses'!$J$12,10,IF($J90='Auto Responses'!$J$11,20,0)))))</f>
      </c>
      <c r="P90" s="106">
        <f>IF(OR($O90='Auto Responses'!$J$5,$L90='Auto Responses'!$J$5),'Auto Responses'!$J$5,$O90*$L90)</f>
      </c>
      <c r="Q90" s="106">
        <f t="shared" si="7"/>
      </c>
      <c r="R90" s="106">
        <f t="shared" si="12"/>
      </c>
      <c r="S90" s="106">
        <f t="shared" si="8"/>
      </c>
      <c r="T90" s="106">
        <f t="shared" si="9"/>
      </c>
      <c r="U90" s="106">
        <f t="shared" si="13"/>
      </c>
      <c r="V90" s="106">
        <f t="shared" si="10"/>
      </c>
    </row>
    <row r="91" spans="1:22" ht="60" x14ac:dyDescent="0.2">
      <c r="A91" s="4">
        <f>Questions!$A91</f>
      </c>
      <c r="B91" s="4">
        <f t="shared" si="11"/>
      </c>
      <c r="C91" s="4">
        <f>VLOOKUP($A91,Questions!$A$3:$L$333,2,0)&amp;""</f>
      </c>
      <c r="D91" s="4">
        <f>VLOOKUP($A91,Questions!$A$3:$L$333,11,0)&amp;""</f>
      </c>
      <c r="E91" s="4">
        <f>VLOOKUP($A91,Questions!$A$3:$L$333,12,0)&amp;""</f>
      </c>
      <c r="F91" s="4">
        <f>VLOOKUP($A91,'Institution Evaluation'!$A$56:$K$345,3,0)&amp;""</f>
      </c>
      <c r="G91" s="4">
        <f>VLOOKUP($A91,'Institution Evaluation'!$A$56:$K$345,7,0)&amp;""</f>
      </c>
      <c r="H91" s="4">
        <f>VLOOKUP($A91,'Institution Evaluation'!$A$56:$K$345,8,0)&amp;""</f>
      </c>
      <c r="I91" s="4">
        <f>VLOOKUP($A91,'Institution Evaluation'!$A$56:$K$345,9,0)&amp;""</f>
      </c>
      <c r="J91" s="4">
        <f>VLOOKUP($A91,'Institution Evaluation'!$A$56:$K$345,10,0)&amp;""</f>
      </c>
      <c r="K91" s="4">
        <f>IF($I91='Auto Responses'!$J$11,20,IF($I91='Auto Responses'!$J$13,5,10))</f>
      </c>
      <c r="L91" s="106">
        <f>IF($E91='Auto Responses'!$L$13, 'Auto Responses'!$J$5,IF(AND($D91='Auto Responses'!$J$27,$H91=""),'Auto Responses'!$J$5,IF(AND($D91='Auto Responses'!$J$27,$H91='Auto Responses'!$J$7),1,IF(AND($D91='Auto Responses'!$J$27,$H91='Auto Responses'!$J$8),0,IF(OR(AND($F91=$G91,$H91=""),$H91='Auto Responses'!$J$7),1,0)))))</f>
      </c>
      <c r="M91" s="4">
        <f>VLOOKUP($A91,'Institution Evaluation'!$A$56:$K$345,11,0)&amp;""</f>
      </c>
      <c r="N91" s="4">
        <f>IF($J91='Auto Responses'!$J$11,1,IF(AND($J91="",$I91='Auto Responses'!$J$11),1,0))</f>
      </c>
      <c r="O91" s="106">
        <f>IF(OR($F$17='Auto Responses'!$J$4,$E91='Auto Responses'!$L$13,$F91='Auto Responses'!$J$5),'Auto Responses'!$J$5,IF($J91="",$K91,IF($J91='Auto Responses'!$J$13,5,IF($J91='Auto Responses'!$J$12,10,IF($J91='Auto Responses'!$J$11,20,0)))))</f>
      </c>
      <c r="P91" s="106">
        <f>IF(OR($O91='Auto Responses'!$J$5,$L91='Auto Responses'!$J$5),'Auto Responses'!$J$5,$O91*$L91)</f>
      </c>
      <c r="Q91" s="106">
        <f t="shared" si="7"/>
      </c>
      <c r="R91" s="106">
        <f t="shared" si="12"/>
      </c>
      <c r="S91" s="106">
        <f t="shared" si="8"/>
      </c>
      <c r="T91" s="106">
        <f t="shared" si="9"/>
      </c>
      <c r="U91" s="106">
        <f t="shared" si="13"/>
      </c>
      <c r="V91" s="106">
        <f t="shared" si="10"/>
      </c>
    </row>
    <row r="92" spans="1:22" ht="60" x14ac:dyDescent="0.2">
      <c r="A92" s="4">
        <f>Questions!$A92</f>
      </c>
      <c r="B92" s="4">
        <f t="shared" si="11"/>
      </c>
      <c r="C92" s="4">
        <f>VLOOKUP($A92,Questions!$A$3:$L$333,2,0)&amp;""</f>
      </c>
      <c r="D92" s="4">
        <f>VLOOKUP($A92,Questions!$A$3:$L$333,11,0)&amp;""</f>
      </c>
      <c r="E92" s="4">
        <f>VLOOKUP($A92,Questions!$A$3:$L$333,12,0)&amp;""</f>
      </c>
      <c r="F92" s="4">
        <f>VLOOKUP($A92,'Institution Evaluation'!$A$56:$K$345,3,0)&amp;""</f>
      </c>
      <c r="G92" s="4">
        <f>VLOOKUP($A92,'Institution Evaluation'!$A$56:$K$345,7,0)&amp;""</f>
      </c>
      <c r="H92" s="4">
        <f>VLOOKUP($A92,'Institution Evaluation'!$A$56:$K$345,8,0)&amp;""</f>
      </c>
      <c r="I92" s="4">
        <f>VLOOKUP($A92,'Institution Evaluation'!$A$56:$K$345,9,0)&amp;""</f>
      </c>
      <c r="J92" s="4">
        <f>VLOOKUP($A92,'Institution Evaluation'!$A$56:$K$345,10,0)&amp;""</f>
      </c>
      <c r="K92" s="4">
        <f>IF($I92='Auto Responses'!$J$11,20,IF($I92='Auto Responses'!$J$13,5,10))</f>
      </c>
      <c r="L92" s="106">
        <f>IF($E92='Auto Responses'!$L$13, 'Auto Responses'!$J$5,IF(AND($D92='Auto Responses'!$J$27,$H92=""),'Auto Responses'!$J$5,IF(AND($D92='Auto Responses'!$J$27,$H92='Auto Responses'!$J$7),1,IF(AND($D92='Auto Responses'!$J$27,$H92='Auto Responses'!$J$8),0,IF(OR(AND($F92=$G92,$H92=""),$H92='Auto Responses'!$J$7),1,0)))))</f>
      </c>
      <c r="M92" s="4">
        <f>VLOOKUP($A92,'Institution Evaluation'!$A$56:$K$345,11,0)&amp;""</f>
      </c>
      <c r="N92" s="4">
        <f>IF($J92='Auto Responses'!$J$11,1,IF(AND($J92="",$I92='Auto Responses'!$J$11),1,0))</f>
      </c>
      <c r="O92" s="106">
        <f>IF(OR($F$17='Auto Responses'!$J$4,$E92='Auto Responses'!$L$13,$F92='Auto Responses'!$J$5),'Auto Responses'!$J$5,IF($J92="",$K92,IF($J92='Auto Responses'!$J$13,5,IF($J92='Auto Responses'!$J$12,10,IF($J92='Auto Responses'!$J$11,20,0)))))</f>
      </c>
      <c r="P92" s="106">
        <f>IF(OR($O92='Auto Responses'!$J$5,$L92='Auto Responses'!$J$5),'Auto Responses'!$J$5,$O92*$L92)</f>
      </c>
      <c r="Q92" s="106">
        <f t="shared" si="7"/>
      </c>
      <c r="R92" s="106">
        <f t="shared" si="12"/>
      </c>
      <c r="S92" s="106">
        <f t="shared" si="8"/>
      </c>
      <c r="T92" s="106">
        <f t="shared" si="9"/>
      </c>
      <c r="U92" s="106">
        <f t="shared" si="13"/>
      </c>
      <c r="V92" s="106">
        <f t="shared" si="10"/>
      </c>
    </row>
    <row r="93" spans="1:22" ht="60" x14ac:dyDescent="0.2">
      <c r="A93" s="4">
        <f>Questions!$A93</f>
      </c>
      <c r="B93" s="4">
        <f t="shared" si="11"/>
      </c>
      <c r="C93" s="4">
        <f>VLOOKUP($A93,Questions!$A$3:$L$333,2,0)&amp;""</f>
      </c>
      <c r="D93" s="4">
        <f>VLOOKUP($A93,Questions!$A$3:$L$333,11,0)&amp;""</f>
      </c>
      <c r="E93" s="4">
        <f>VLOOKUP($A93,Questions!$A$3:$L$333,12,0)&amp;""</f>
      </c>
      <c r="F93" s="4">
        <f>VLOOKUP($A93,'Institution Evaluation'!$A$56:$K$345,3,0)&amp;""</f>
      </c>
      <c r="G93" s="4">
        <f>VLOOKUP($A93,'Institution Evaluation'!$A$56:$K$345,7,0)&amp;""</f>
      </c>
      <c r="H93" s="4">
        <f>VLOOKUP($A93,'Institution Evaluation'!$A$56:$K$345,8,0)&amp;""</f>
      </c>
      <c r="I93" s="4">
        <f>VLOOKUP($A93,'Institution Evaluation'!$A$56:$K$345,9,0)&amp;""</f>
      </c>
      <c r="J93" s="4">
        <f>VLOOKUP($A93,'Institution Evaluation'!$A$56:$K$345,10,0)&amp;""</f>
      </c>
      <c r="K93" s="4">
        <f>IF($I93='Auto Responses'!$J$11,20,IF($I93='Auto Responses'!$J$13,5,10))</f>
      </c>
      <c r="L93" s="106">
        <f>IF($E93='Auto Responses'!$L$13, 'Auto Responses'!$J$5,IF(AND($D93='Auto Responses'!$J$27,$H93=""),'Auto Responses'!$J$5,IF(AND($D93='Auto Responses'!$J$27,$H93='Auto Responses'!$J$7),1,IF(AND($D93='Auto Responses'!$J$27,$H93='Auto Responses'!$J$8),0,IF(OR(AND($F93=$G93,$H93=""),$H93='Auto Responses'!$J$7),1,0)))))</f>
      </c>
      <c r="M93" s="4">
        <f>VLOOKUP($A93,'Institution Evaluation'!$A$56:$K$345,11,0)&amp;""</f>
      </c>
      <c r="N93" s="4">
        <f>IF($J93='Auto Responses'!$J$11,1,IF(AND($J93="",$I93='Auto Responses'!$J$11),1,0))</f>
      </c>
      <c r="O93" s="106">
        <f>IF(OR($F$17='Auto Responses'!$J$4,$E93='Auto Responses'!$L$13,$F93='Auto Responses'!$J$5),'Auto Responses'!$J$5,IF($J93="",$K93,IF($J93='Auto Responses'!$J$13,5,IF($J93='Auto Responses'!$J$12,10,IF($J93='Auto Responses'!$J$11,20,0)))))</f>
      </c>
      <c r="P93" s="106">
        <f>IF(OR($O93='Auto Responses'!$J$5,$L93='Auto Responses'!$J$5),'Auto Responses'!$J$5,$O93*$L93)</f>
      </c>
      <c r="Q93" s="106">
        <f t="shared" si="7"/>
      </c>
      <c r="R93" s="106">
        <f t="shared" si="12"/>
      </c>
      <c r="S93" s="106">
        <f t="shared" si="8"/>
      </c>
      <c r="T93" s="106">
        <f t="shared" si="9"/>
      </c>
      <c r="U93" s="106">
        <f t="shared" si="13"/>
      </c>
      <c r="V93" s="106">
        <f t="shared" si="10"/>
      </c>
    </row>
    <row r="94" spans="1:22" ht="60" x14ac:dyDescent="0.2">
      <c r="A94" s="4">
        <f>Questions!$A94</f>
      </c>
      <c r="B94" s="4">
        <f t="shared" si="11"/>
      </c>
      <c r="C94" s="4">
        <f>VLOOKUP($A94,Questions!$A$3:$L$333,2,0)&amp;""</f>
      </c>
      <c r="D94" s="4">
        <f>VLOOKUP($A94,Questions!$A$3:$L$333,11,0)&amp;""</f>
      </c>
      <c r="E94" s="4">
        <f>VLOOKUP($A94,Questions!$A$3:$L$333,12,0)&amp;""</f>
      </c>
      <c r="F94" s="4">
        <f>VLOOKUP($A94,'Institution Evaluation'!$A$56:$K$345,3,0)&amp;""</f>
      </c>
      <c r="G94" s="4">
        <f>VLOOKUP($A94,'Institution Evaluation'!$A$56:$K$345,7,0)&amp;""</f>
      </c>
      <c r="H94" s="4">
        <f>VLOOKUP($A94,'Institution Evaluation'!$A$56:$K$345,8,0)&amp;""</f>
      </c>
      <c r="I94" s="4">
        <f>VLOOKUP($A94,'Institution Evaluation'!$A$56:$K$345,9,0)&amp;""</f>
      </c>
      <c r="J94" s="4">
        <f>VLOOKUP($A94,'Institution Evaluation'!$A$56:$K$345,10,0)&amp;""</f>
      </c>
      <c r="K94" s="4">
        <f>IF($I94='Auto Responses'!$J$11,20,IF($I94='Auto Responses'!$J$13,5,10))</f>
      </c>
      <c r="L94" s="106">
        <f>IF($E94='Auto Responses'!$L$13, 'Auto Responses'!$J$5,IF(AND($D94='Auto Responses'!$J$27,$H94=""),'Auto Responses'!$J$5,IF(AND($D94='Auto Responses'!$J$27,$H94='Auto Responses'!$J$7),1,IF(AND($D94='Auto Responses'!$J$27,$H94='Auto Responses'!$J$8),0,IF(OR(AND($F94=$G94,$H94=""),$H94='Auto Responses'!$J$7),1,0)))))</f>
      </c>
      <c r="M94" s="4">
        <f>VLOOKUP($A94,'Institution Evaluation'!$A$56:$K$345,11,0)&amp;""</f>
      </c>
      <c r="N94" s="4">
        <f>IF($J94='Auto Responses'!$J$11,1,IF(AND($J94="",$I94='Auto Responses'!$J$11),1,0))</f>
      </c>
      <c r="O94" s="106">
        <f>IF(OR($F$17='Auto Responses'!$J$4,$E94='Auto Responses'!$L$13,$F94='Auto Responses'!$J$5),'Auto Responses'!$J$5,IF($J94="",$K94,IF($J94='Auto Responses'!$J$13,5,IF($J94='Auto Responses'!$J$12,10,IF($J94='Auto Responses'!$J$11,20,0)))))</f>
      </c>
      <c r="P94" s="106">
        <f>IF(OR($O94='Auto Responses'!$J$5,$L94='Auto Responses'!$J$5),'Auto Responses'!$J$5,$O94*$L94)</f>
      </c>
      <c r="Q94" s="106">
        <f t="shared" si="7"/>
      </c>
      <c r="R94" s="106">
        <f t="shared" si="12"/>
      </c>
      <c r="S94" s="106">
        <f t="shared" si="8"/>
      </c>
      <c r="T94" s="106">
        <f t="shared" si="9"/>
      </c>
      <c r="U94" s="106">
        <f t="shared" si="13"/>
      </c>
      <c r="V94" s="106">
        <f t="shared" si="10"/>
      </c>
    </row>
    <row r="95" spans="1:22" ht="60" x14ac:dyDescent="0.2">
      <c r="A95" s="4">
        <f>Questions!$A95</f>
      </c>
      <c r="B95" s="4">
        <f t="shared" si="11"/>
      </c>
      <c r="C95" s="4">
        <f>VLOOKUP($A95,Questions!$A$3:$L$333,2,0)&amp;""</f>
      </c>
      <c r="D95" s="4">
        <f>VLOOKUP($A95,Questions!$A$3:$L$333,11,0)&amp;""</f>
      </c>
      <c r="E95" s="4">
        <f>VLOOKUP($A95,Questions!$A$3:$L$333,12,0)&amp;""</f>
      </c>
      <c r="F95" s="4">
        <f>VLOOKUP($A95,'Institution Evaluation'!$A$56:$K$345,3,0)&amp;""</f>
      </c>
      <c r="G95" s="4">
        <f>VLOOKUP($A95,'Institution Evaluation'!$A$56:$K$345,7,0)&amp;""</f>
      </c>
      <c r="H95" s="4">
        <f>VLOOKUP($A95,'Institution Evaluation'!$A$56:$K$345,8,0)&amp;""</f>
      </c>
      <c r="I95" s="4">
        <f>VLOOKUP($A95,'Institution Evaluation'!$A$56:$K$345,9,0)&amp;""</f>
      </c>
      <c r="J95" s="4">
        <f>VLOOKUP($A95,'Institution Evaluation'!$A$56:$K$345,10,0)&amp;""</f>
      </c>
      <c r="K95" s="4">
        <f>IF($I95='Auto Responses'!$J$11,20,IF($I95='Auto Responses'!$J$13,5,10))</f>
      </c>
      <c r="L95" s="106">
        <f>IF($E95='Auto Responses'!$L$13, 'Auto Responses'!$J$5,IF(AND($D95='Auto Responses'!$J$27,$H95=""),'Auto Responses'!$J$5,IF(AND($D95='Auto Responses'!$J$27,$H95='Auto Responses'!$J$7),1,IF(AND($D95='Auto Responses'!$J$27,$H95='Auto Responses'!$J$8),0,IF(OR(AND($F95=$G95,$H95=""),$H95='Auto Responses'!$J$7),1,0)))))</f>
      </c>
      <c r="M95" s="4">
        <f>VLOOKUP($A95,'Institution Evaluation'!$A$56:$K$345,11,0)&amp;""</f>
      </c>
      <c r="N95" s="4">
        <f>IF($J95='Auto Responses'!$J$11,1,IF(AND($J95="",$I95='Auto Responses'!$J$11),1,0))</f>
      </c>
      <c r="O95" s="106">
        <f>IF(OR($F$17='Auto Responses'!$J$4,$E95='Auto Responses'!$L$13,$F95='Auto Responses'!$J$5),'Auto Responses'!$J$5,IF($J95="",$K95,IF($J95='Auto Responses'!$J$13,5,IF($J95='Auto Responses'!$J$12,10,IF($J95='Auto Responses'!$J$11,20,0)))))</f>
      </c>
      <c r="P95" s="106">
        <f>IF(OR($O95='Auto Responses'!$J$5,$L95='Auto Responses'!$J$5),'Auto Responses'!$J$5,$O95*$L95)</f>
      </c>
      <c r="Q95" s="106">
        <f t="shared" si="7"/>
      </c>
      <c r="R95" s="106">
        <f t="shared" si="12"/>
      </c>
      <c r="S95" s="106">
        <f t="shared" si="8"/>
      </c>
      <c r="T95" s="106">
        <f t="shared" si="9"/>
      </c>
      <c r="U95" s="106">
        <f t="shared" si="13"/>
      </c>
      <c r="V95" s="106">
        <f t="shared" si="10"/>
      </c>
    </row>
    <row r="96" spans="1:22" ht="60" x14ac:dyDescent="0.2">
      <c r="A96" s="4">
        <f>Questions!$A96</f>
      </c>
      <c r="B96" s="4">
        <f t="shared" si="11"/>
      </c>
      <c r="C96" s="4">
        <f>VLOOKUP($A96,Questions!$A$3:$L$333,2,0)&amp;""</f>
      </c>
      <c r="D96" s="4">
        <f>VLOOKUP($A96,Questions!$A$3:$L$333,11,0)&amp;""</f>
      </c>
      <c r="E96" s="4">
        <f>VLOOKUP($A96,Questions!$A$3:$L$333,12,0)&amp;""</f>
      </c>
      <c r="F96" s="4">
        <f>VLOOKUP($A96,'Institution Evaluation'!$A$56:$K$345,3,0)&amp;""</f>
      </c>
      <c r="G96" s="4">
        <f>VLOOKUP($A96,'Institution Evaluation'!$A$56:$K$345,7,0)&amp;""</f>
      </c>
      <c r="H96" s="4">
        <f>VLOOKUP($A96,'Institution Evaluation'!$A$56:$K$345,8,0)&amp;""</f>
      </c>
      <c r="I96" s="4">
        <f>VLOOKUP($A96,'Institution Evaluation'!$A$56:$K$345,9,0)&amp;""</f>
      </c>
      <c r="J96" s="4">
        <f>VLOOKUP($A96,'Institution Evaluation'!$A$56:$K$345,10,0)&amp;""</f>
      </c>
      <c r="K96" s="4">
        <f>IF($I96='Auto Responses'!$J$11,20,IF($I96='Auto Responses'!$J$13,5,10))</f>
      </c>
      <c r="L96" s="106">
        <f>IF($E96='Auto Responses'!$L$13, 'Auto Responses'!$J$5,IF(AND($D96='Auto Responses'!$J$27,$H96=""),'Auto Responses'!$J$5,IF(AND($D96='Auto Responses'!$J$27,$H96='Auto Responses'!$J$7),1,IF(AND($D96='Auto Responses'!$J$27,$H96='Auto Responses'!$J$8),0,IF(OR(AND($F96=$G96,$H96=""),$H96='Auto Responses'!$J$7),1,0)))))</f>
      </c>
      <c r="M96" s="4">
        <f>VLOOKUP($A96,'Institution Evaluation'!$A$56:$K$345,11,0)&amp;""</f>
      </c>
      <c r="N96" s="4">
        <f>IF($J96='Auto Responses'!$J$11,1,IF(AND($J96="",$I96='Auto Responses'!$J$11),1,0))</f>
      </c>
      <c r="O96" s="106">
        <f>IF(OR($E96='Auto Responses'!$L$13,$F96='Auto Responses'!$J$5),'Auto Responses'!$J$5,IF($J96="",$K96,IF($J96='Auto Responses'!$J$13,5,IF($J96='Auto Responses'!$J$12,10,IF($J96='Auto Responses'!$J$11,20,0)))))</f>
      </c>
      <c r="P96" s="106">
        <f>IF(OR($O96='Auto Responses'!$J$5,$L96='Auto Responses'!$J$5),'Auto Responses'!$J$5,$O96*$L96)</f>
      </c>
      <c r="Q96" s="106">
        <f t="shared" si="7"/>
      </c>
      <c r="R96" s="106">
        <f t="shared" si="12"/>
      </c>
      <c r="S96" s="106">
        <f t="shared" si="8"/>
      </c>
      <c r="T96" s="106">
        <f t="shared" si="9"/>
      </c>
      <c r="U96" s="106">
        <f t="shared" si="13"/>
      </c>
      <c r="V96" s="106">
        <f t="shared" si="10"/>
      </c>
    </row>
    <row r="97" spans="1:22" ht="60" x14ac:dyDescent="0.2">
      <c r="A97" s="4">
        <f>Questions!$A97</f>
      </c>
      <c r="B97" s="4">
        <f t="shared" si="11"/>
      </c>
      <c r="C97" s="4">
        <f>VLOOKUP($A97,Questions!$A$3:$L$333,2,0)&amp;""</f>
      </c>
      <c r="D97" s="4">
        <f>VLOOKUP($A97,Questions!$A$3:$L$333,11,0)&amp;""</f>
      </c>
      <c r="E97" s="4">
        <f>VLOOKUP($A97,Questions!$A$3:$L$333,12,0)&amp;""</f>
      </c>
      <c r="F97" s="4">
        <f>VLOOKUP($A97,'Institution Evaluation'!$A$56:$K$345,3,0)&amp;""</f>
      </c>
      <c r="G97" s="4">
        <f>VLOOKUP($A97,'Institution Evaluation'!$A$56:$K$345,7,0)&amp;""</f>
      </c>
      <c r="H97" s="4">
        <f>VLOOKUP($A97,'Institution Evaluation'!$A$56:$K$345,8,0)&amp;""</f>
      </c>
      <c r="I97" s="4">
        <f>VLOOKUP($A97,'Institution Evaluation'!$A$56:$K$345,9,0)&amp;""</f>
      </c>
      <c r="J97" s="4">
        <f>VLOOKUP($A97,'Institution Evaluation'!$A$56:$K$345,10,0)&amp;""</f>
      </c>
      <c r="K97" s="4">
        <f>IF($I97='Auto Responses'!$J$11,20,IF($I97='Auto Responses'!$J$13,5,10))</f>
      </c>
      <c r="L97" s="106">
        <f>IF($E97='Auto Responses'!$L$13, 'Auto Responses'!$J$5,IF(AND($D97='Auto Responses'!$J$27,$H97=""),'Auto Responses'!$J$5,IF(AND($D97='Auto Responses'!$J$27,$H97='Auto Responses'!$J$7),1,IF(AND($D97='Auto Responses'!$J$27,$H97='Auto Responses'!$J$8),0,IF(OR(AND($F97=$G97,$H97=""),$H97='Auto Responses'!$J$7),1,0)))))</f>
      </c>
      <c r="M97" s="4">
        <f>VLOOKUP($A97,'Institution Evaluation'!$A$56:$K$345,11,0)&amp;""</f>
      </c>
      <c r="N97" s="4">
        <f>IF($J97='Auto Responses'!$J$11,1,IF(AND($J97="",$I97='Auto Responses'!$J$11),1,0))</f>
      </c>
      <c r="O97" s="106">
        <f>IF(OR($E97='Auto Responses'!$L$13,$F97='Auto Responses'!$J$5),'Auto Responses'!$J$5,IF($J97="",$K97,IF($J97='Auto Responses'!$J$13,5,IF($J97='Auto Responses'!$J$12,10,IF($J97='Auto Responses'!$J$11,20,0)))))</f>
      </c>
      <c r="P97" s="106">
        <f>IF(OR($O97='Auto Responses'!$J$5,$L97='Auto Responses'!$J$5),'Auto Responses'!$J$5,$O97*$L97)</f>
      </c>
      <c r="Q97" s="106">
        <f t="shared" si="7"/>
      </c>
      <c r="R97" s="106">
        <f t="shared" si="12"/>
      </c>
      <c r="S97" s="106">
        <f t="shared" si="8"/>
      </c>
      <c r="T97" s="106">
        <f t="shared" si="9"/>
      </c>
      <c r="U97" s="106">
        <f t="shared" si="13"/>
      </c>
      <c r="V97" s="106">
        <f t="shared" si="10"/>
      </c>
    </row>
    <row r="98" spans="1:22" ht="60" x14ac:dyDescent="0.2">
      <c r="A98" s="4">
        <f>Questions!$A98</f>
      </c>
      <c r="B98" s="4">
        <f t="shared" si="11"/>
      </c>
      <c r="C98" s="4">
        <f>VLOOKUP($A98,Questions!$A$3:$L$333,2,0)&amp;""</f>
      </c>
      <c r="D98" s="4">
        <f>VLOOKUP($A98,Questions!$A$3:$L$333,11,0)&amp;""</f>
      </c>
      <c r="E98" s="4">
        <f>VLOOKUP($A98,Questions!$A$3:$L$333,12,0)&amp;""</f>
      </c>
      <c r="F98" s="4">
        <f>VLOOKUP($A98,'Institution Evaluation'!$A$56:$K$345,3,0)&amp;""</f>
      </c>
      <c r="G98" s="4">
        <f>VLOOKUP($A98,'Institution Evaluation'!$A$56:$K$345,7,0)&amp;""</f>
      </c>
      <c r="H98" s="4">
        <f>VLOOKUP($A98,'Institution Evaluation'!$A$56:$K$345,8,0)&amp;""</f>
      </c>
      <c r="I98" s="4">
        <f>VLOOKUP($A98,'Institution Evaluation'!$A$56:$K$345,9,0)&amp;""</f>
      </c>
      <c r="J98" s="4">
        <f>VLOOKUP($A98,'Institution Evaluation'!$A$56:$K$345,10,0)&amp;""</f>
      </c>
      <c r="K98" s="4">
        <f>IF($I98='Auto Responses'!$J$11,20,IF($I98='Auto Responses'!$J$13,5,10))</f>
      </c>
      <c r="L98" s="106">
        <f>IF($E98='Auto Responses'!$L$13, 'Auto Responses'!$J$5,IF(AND($D98='Auto Responses'!$J$27,$H98=""),'Auto Responses'!$J$5,IF(AND($D98='Auto Responses'!$J$27,$H98='Auto Responses'!$J$7),1,IF(AND($D98='Auto Responses'!$J$27,$H98='Auto Responses'!$J$8),0,IF(OR(AND($F98=$G98,$H98=""),$H98='Auto Responses'!$J$7),1,0)))))</f>
      </c>
      <c r="M98" s="4">
        <f>VLOOKUP($A98,'Institution Evaluation'!$A$56:$K$345,11,0)&amp;""</f>
      </c>
      <c r="N98" s="4">
        <f>IF($J98='Auto Responses'!$J$11,1,IF(AND($J98="",$I98='Auto Responses'!$J$11),1,0))</f>
      </c>
      <c r="O98" s="106">
        <f>IF(OR($E98='Auto Responses'!$L$13,$F98='Auto Responses'!$J$5),'Auto Responses'!$J$5,IF($J98="",$K98,IF($J98='Auto Responses'!$J$13,5,IF($J98='Auto Responses'!$J$12,10,IF($J98='Auto Responses'!$J$11,20,0)))))</f>
      </c>
      <c r="P98" s="106">
        <f>IF(OR($O98='Auto Responses'!$J$5,$L98='Auto Responses'!$J$5),'Auto Responses'!$J$5,$O98*$L98)</f>
      </c>
      <c r="Q98" s="106">
        <f t="shared" si="7"/>
      </c>
      <c r="R98" s="106">
        <f t="shared" si="12"/>
      </c>
      <c r="S98" s="106">
        <f t="shared" si="8"/>
      </c>
      <c r="T98" s="106">
        <f t="shared" si="9"/>
      </c>
      <c r="U98" s="106">
        <f t="shared" si="13"/>
      </c>
      <c r="V98" s="106">
        <f t="shared" si="10"/>
      </c>
    </row>
    <row r="99" spans="1:22" ht="60" x14ac:dyDescent="0.2">
      <c r="A99" s="4">
        <f>Questions!$A99</f>
      </c>
      <c r="B99" s="4">
        <f t="shared" si="11"/>
      </c>
      <c r="C99" s="4">
        <f>VLOOKUP($A99,Questions!$A$3:$L$333,2,0)&amp;""</f>
      </c>
      <c r="D99" s="4">
        <f>VLOOKUP($A99,Questions!$A$3:$L$333,11,0)&amp;""</f>
      </c>
      <c r="E99" s="4">
        <f>VLOOKUP($A99,Questions!$A$3:$L$333,12,0)&amp;""</f>
      </c>
      <c r="F99" s="4">
        <f>VLOOKUP($A99,'Institution Evaluation'!$A$56:$K$345,3,0)&amp;""</f>
      </c>
      <c r="G99" s="4">
        <f>VLOOKUP($A99,'Institution Evaluation'!$A$56:$K$345,7,0)&amp;""</f>
      </c>
      <c r="H99" s="4">
        <f>VLOOKUP($A99,'Institution Evaluation'!$A$56:$K$345,8,0)&amp;""</f>
      </c>
      <c r="I99" s="4">
        <f>VLOOKUP($A99,'Institution Evaluation'!$A$56:$K$345,9,0)&amp;""</f>
      </c>
      <c r="J99" s="4">
        <f>VLOOKUP($A99,'Institution Evaluation'!$A$56:$K$345,10,0)&amp;""</f>
      </c>
      <c r="K99" s="4">
        <f>IF($I99='Auto Responses'!$J$11,20,IF($I99='Auto Responses'!$J$13,5,10))</f>
      </c>
      <c r="L99" s="106">
        <f>IF($E99='Auto Responses'!$L$13, 'Auto Responses'!$J$5,IF(AND($D99='Auto Responses'!$J$27,$H99=""),'Auto Responses'!$J$5,IF(AND($D99='Auto Responses'!$J$27,$H99='Auto Responses'!$J$7),1,IF(AND($D99='Auto Responses'!$J$27,$H99='Auto Responses'!$J$8),0,IF(OR(AND($F99=$G99,$H99=""),$H99='Auto Responses'!$J$7),1,0)))))</f>
      </c>
      <c r="M99" s="4">
        <f>VLOOKUP($A99,'Institution Evaluation'!$A$56:$K$345,11,0)&amp;""</f>
      </c>
      <c r="N99" s="4">
        <f>IF($J99='Auto Responses'!$J$11,1,IF(AND($J99="",$I99='Auto Responses'!$J$11),1,0))</f>
      </c>
      <c r="O99" s="106">
        <f>IF(OR($E99='Auto Responses'!$L$13,$F99='Auto Responses'!$J$5),'Auto Responses'!$J$5,IF($J99="",$K99,IF($J99='Auto Responses'!$J$13,5,IF($J99='Auto Responses'!$J$12,10,IF($J99='Auto Responses'!$J$11,20,0)))))</f>
      </c>
      <c r="P99" s="106">
        <f>IF(OR($O99='Auto Responses'!$J$5,$L99='Auto Responses'!$J$5),'Auto Responses'!$J$5,$O99*$L99)</f>
      </c>
      <c r="Q99" s="106">
        <f t="shared" si="7"/>
      </c>
      <c r="R99" s="106">
        <f t="shared" si="12"/>
      </c>
      <c r="S99" s="106">
        <f t="shared" si="8"/>
      </c>
      <c r="T99" s="106">
        <f t="shared" si="9"/>
      </c>
      <c r="U99" s="106">
        <f t="shared" si="13"/>
      </c>
      <c r="V99" s="106">
        <f t="shared" si="10"/>
      </c>
    </row>
    <row r="100" spans="1:22" ht="60" x14ac:dyDescent="0.2">
      <c r="A100" s="4">
        <f>Questions!$A100</f>
      </c>
      <c r="B100" s="4">
        <f t="shared" si="11"/>
      </c>
      <c r="C100" s="4">
        <f>VLOOKUP($A100,Questions!$A$3:$L$333,2,0)&amp;""</f>
      </c>
      <c r="D100" s="4">
        <f>VLOOKUP($A100,Questions!$A$3:$L$333,11,0)&amp;""</f>
      </c>
      <c r="E100" s="4">
        <f>VLOOKUP($A100,Questions!$A$3:$L$333,12,0)&amp;""</f>
      </c>
      <c r="F100" s="4">
        <f>VLOOKUP($A100,'Institution Evaluation'!$A$56:$K$345,3,0)&amp;""</f>
      </c>
      <c r="G100" s="4">
        <f>VLOOKUP($A100,'Institution Evaluation'!$A$56:$K$345,7,0)&amp;""</f>
      </c>
      <c r="H100" s="4">
        <f>VLOOKUP($A100,'Institution Evaluation'!$A$56:$K$345,8,0)&amp;""</f>
      </c>
      <c r="I100" s="4">
        <f>VLOOKUP($A100,'Institution Evaluation'!$A$56:$K$345,9,0)&amp;""</f>
      </c>
      <c r="J100" s="4">
        <f>VLOOKUP($A100,'Institution Evaluation'!$A$56:$K$345,10,0)&amp;""</f>
      </c>
      <c r="K100" s="4">
        <f>IF($I100='Auto Responses'!$J$11,20,IF($I100='Auto Responses'!$J$13,5,10))</f>
      </c>
      <c r="L100" s="106">
        <f>IF($E100='Auto Responses'!$L$13, 'Auto Responses'!$J$5,IF(AND($D100='Auto Responses'!$J$27,$H100=""),'Auto Responses'!$J$5,IF(AND($D100='Auto Responses'!$J$27,$H100='Auto Responses'!$J$7),1,IF(AND($D100='Auto Responses'!$J$27,$H100='Auto Responses'!$J$8),0,IF(OR(AND($F100=$G100,$H100=""),$H100='Auto Responses'!$J$7),1,0)))))</f>
      </c>
      <c r="M100" s="4">
        <f>VLOOKUP($A100,'Institution Evaluation'!$A$56:$K$345,11,0)&amp;""</f>
      </c>
      <c r="N100" s="4">
        <f>IF($J100='Auto Responses'!$J$11,1,IF(AND($J100="",$I100='Auto Responses'!$J$11),1,0))</f>
      </c>
      <c r="O100" s="106">
        <f>IF(OR($E100='Auto Responses'!$L$13,$F100='Auto Responses'!$J$5),'Auto Responses'!$J$5,IF($J100="",$K100,IF($J100='Auto Responses'!$J$13,5,IF($J100='Auto Responses'!$J$12,10,IF($J100='Auto Responses'!$J$11,20,0)))))</f>
      </c>
      <c r="P100" s="106">
        <f>IF(OR($O100='Auto Responses'!$J$5,$L100='Auto Responses'!$J$5),'Auto Responses'!$J$5,$O100*$L100)</f>
      </c>
      <c r="Q100" s="106">
        <f t="shared" si="7"/>
      </c>
      <c r="R100" s="106">
        <f t="shared" si="12"/>
      </c>
      <c r="S100" s="106">
        <f t="shared" si="8"/>
      </c>
      <c r="T100" s="106">
        <f t="shared" si="9"/>
      </c>
      <c r="U100" s="106">
        <f t="shared" si="13"/>
      </c>
      <c r="V100" s="106">
        <f t="shared" si="10"/>
      </c>
    </row>
    <row r="101" spans="1:22" ht="60" x14ac:dyDescent="0.2">
      <c r="A101" s="4">
        <f>Questions!$A101</f>
      </c>
      <c r="B101" s="4">
        <f t="shared" si="11"/>
      </c>
      <c r="C101" s="4">
        <f>VLOOKUP($A101,Questions!$A$3:$L$333,2,0)&amp;""</f>
      </c>
      <c r="D101" s="4">
        <f>VLOOKUP($A101,Questions!$A$3:$L$333,11,0)&amp;""</f>
      </c>
      <c r="E101" s="4">
        <f>VLOOKUP($A101,Questions!$A$3:$L$333,12,0)&amp;""</f>
      </c>
      <c r="F101" s="4">
        <f>VLOOKUP($A101,'Institution Evaluation'!$A$56:$K$345,3,0)&amp;""</f>
      </c>
      <c r="G101" s="4">
        <f>VLOOKUP($A101,'Institution Evaluation'!$A$56:$K$345,7,0)&amp;""</f>
      </c>
      <c r="H101" s="4">
        <f>VLOOKUP($A101,'Institution Evaluation'!$A$56:$K$345,8,0)&amp;""</f>
      </c>
      <c r="I101" s="4">
        <f>VLOOKUP($A101,'Institution Evaluation'!$A$56:$K$345,9,0)&amp;""</f>
      </c>
      <c r="J101" s="4">
        <f>VLOOKUP($A101,'Institution Evaluation'!$A$56:$K$345,10,0)&amp;""</f>
      </c>
      <c r="K101" s="4">
        <f>IF($I101='Auto Responses'!$J$11,20,IF($I101='Auto Responses'!$J$13,5,10))</f>
      </c>
      <c r="L101" s="106">
        <f>IF($E101='Auto Responses'!$L$13, 'Auto Responses'!$J$5,IF(AND($D101='Auto Responses'!$J$27,$H101=""),'Auto Responses'!$J$5,IF(AND($D101='Auto Responses'!$J$27,$H101='Auto Responses'!$J$7),1,IF(AND($D101='Auto Responses'!$J$27,$H101='Auto Responses'!$J$8),0,IF(OR(AND($F101=$G101,$H101=""),$H101='Auto Responses'!$J$7),1,0)))))</f>
      </c>
      <c r="M101" s="4">
        <f>VLOOKUP($A101,'Institution Evaluation'!$A$56:$K$345,11,0)&amp;""</f>
      </c>
      <c r="N101" s="4">
        <f>IF($J101='Auto Responses'!$J$11,1,IF(AND($J101="",$I101='Auto Responses'!$J$11),1,0))</f>
      </c>
      <c r="O101" s="106">
        <f>IF(OR($E101='Auto Responses'!$L$13,$F101='Auto Responses'!$J$5),'Auto Responses'!$J$5,IF($J101="",$K101,IF($J101='Auto Responses'!$J$13,5,IF($J101='Auto Responses'!$J$12,10,IF($J101='Auto Responses'!$J$11,20,0)))))</f>
      </c>
      <c r="P101" s="106">
        <f>IF(OR($O101='Auto Responses'!$J$5,$L101='Auto Responses'!$J$5),'Auto Responses'!$J$5,$O101*$L101)</f>
      </c>
      <c r="Q101" s="106">
        <f t="shared" si="7"/>
      </c>
      <c r="R101" s="106">
        <f t="shared" si="12"/>
      </c>
      <c r="S101" s="106">
        <f t="shared" si="8"/>
      </c>
      <c r="T101" s="106">
        <f t="shared" si="9"/>
      </c>
      <c r="U101" s="106">
        <f t="shared" si="13"/>
      </c>
      <c r="V101" s="106">
        <f t="shared" si="10"/>
      </c>
    </row>
    <row r="102" spans="1:22" ht="60" x14ac:dyDescent="0.2">
      <c r="A102" s="4">
        <f>Questions!$A102</f>
      </c>
      <c r="B102" s="4">
        <f t="shared" si="11"/>
      </c>
      <c r="C102" s="4">
        <f>VLOOKUP($A102,Questions!$A$3:$L$333,2,0)&amp;""</f>
      </c>
      <c r="D102" s="4">
        <f>VLOOKUP($A102,Questions!$A$3:$L$333,11,0)&amp;""</f>
      </c>
      <c r="E102" s="4">
        <f>VLOOKUP($A102,Questions!$A$3:$L$333,12,0)&amp;""</f>
      </c>
      <c r="F102" s="4">
        <f>VLOOKUP($A102,'Institution Evaluation'!$A$56:$K$345,3,0)&amp;""</f>
      </c>
      <c r="G102" s="4">
        <f>VLOOKUP($A102,'Institution Evaluation'!$A$56:$K$345,7,0)&amp;""</f>
      </c>
      <c r="H102" s="4">
        <f>VLOOKUP($A102,'Institution Evaluation'!$A$56:$K$345,8,0)&amp;""</f>
      </c>
      <c r="I102" s="4">
        <f>VLOOKUP($A102,'Institution Evaluation'!$A$56:$K$345,9,0)&amp;""</f>
      </c>
      <c r="J102" s="4">
        <f>VLOOKUP($A102,'Institution Evaluation'!$A$56:$K$345,10,0)&amp;""</f>
      </c>
      <c r="K102" s="4">
        <f>IF($I102='Auto Responses'!$J$11,20,IF($I102='Auto Responses'!$J$13,5,10))</f>
      </c>
      <c r="L102" s="106">
        <f>IF($E102='Auto Responses'!$L$13, 'Auto Responses'!$J$5,IF(AND($D102='Auto Responses'!$J$27,$H102=""),'Auto Responses'!$J$5,IF(AND($D102='Auto Responses'!$J$27,$H102='Auto Responses'!$J$7),1,IF(AND($D102='Auto Responses'!$J$27,$H102='Auto Responses'!$J$8),0,IF(OR(AND($F102=$G102,$H102=""),$H102='Auto Responses'!$J$7),1,0)))))</f>
      </c>
      <c r="M102" s="4">
        <f>VLOOKUP($A102,'Institution Evaluation'!$A$56:$K$345,11,0)&amp;""</f>
      </c>
      <c r="N102" s="4">
        <f>IF($J102='Auto Responses'!$J$11,1,IF(AND($J102="",$I102='Auto Responses'!$J$11),1,0))</f>
      </c>
      <c r="O102" s="106">
        <f>IF(OR($E102='Auto Responses'!$L$13,$F102='Auto Responses'!$J$5),'Auto Responses'!$J$5,IF($J102="",$K102,IF($J102='Auto Responses'!$J$13,5,IF($J102='Auto Responses'!$J$12,10,IF($J102='Auto Responses'!$J$11,20,0)))))</f>
      </c>
      <c r="P102" s="106">
        <f>IF(OR($O102='Auto Responses'!$J$5,$L102='Auto Responses'!$J$5),'Auto Responses'!$J$5,$O102*$L102)</f>
      </c>
      <c r="Q102" s="106">
        <f t="shared" si="7"/>
      </c>
      <c r="R102" s="106">
        <f t="shared" si="12"/>
      </c>
      <c r="S102" s="106">
        <f t="shared" si="8"/>
      </c>
      <c r="T102" s="106">
        <f t="shared" si="9"/>
      </c>
      <c r="U102" s="106">
        <f t="shared" si="13"/>
      </c>
      <c r="V102" s="106">
        <f t="shared" si="10"/>
      </c>
    </row>
    <row r="103" spans="1:22" ht="60" x14ac:dyDescent="0.2">
      <c r="A103" s="4">
        <f>Questions!$A103</f>
      </c>
      <c r="B103" s="4">
        <f t="shared" si="11"/>
      </c>
      <c r="C103" s="4">
        <f>VLOOKUP($A103,Questions!$A$3:$L$333,2,0)&amp;""</f>
      </c>
      <c r="D103" s="4">
        <f>VLOOKUP($A103,Questions!$A$3:$L$333,11,0)&amp;""</f>
      </c>
      <c r="E103" s="4">
        <f>VLOOKUP($A103,Questions!$A$3:$L$333,12,0)&amp;""</f>
      </c>
      <c r="F103" s="4">
        <f>VLOOKUP($A103,'Institution Evaluation'!$A$56:$K$345,3,0)&amp;""</f>
      </c>
      <c r="G103" s="4">
        <f>VLOOKUP($A103,'Institution Evaluation'!$A$56:$K$345,7,0)&amp;""</f>
      </c>
      <c r="H103" s="4">
        <f>VLOOKUP($A103,'Institution Evaluation'!$A$56:$K$345,8,0)&amp;""</f>
      </c>
      <c r="I103" s="4">
        <f>VLOOKUP($A103,'Institution Evaluation'!$A$56:$K$345,9,0)&amp;""</f>
      </c>
      <c r="J103" s="4">
        <f>VLOOKUP($A103,'Institution Evaluation'!$A$56:$K$345,10,0)&amp;""</f>
      </c>
      <c r="K103" s="4">
        <f>IF($I103='Auto Responses'!$J$11,20,IF($I103='Auto Responses'!$J$13,5,10))</f>
      </c>
      <c r="L103" s="106">
        <f>IF($E103='Auto Responses'!$L$13, 'Auto Responses'!$J$5,IF(AND($D103='Auto Responses'!$J$27,$H103=""),'Auto Responses'!$J$5,IF(AND($D103='Auto Responses'!$J$27,$H103='Auto Responses'!$J$7),1,IF(AND($D103='Auto Responses'!$J$27,$H103='Auto Responses'!$J$8),0,IF(OR(AND($F103=$G103,$H103=""),$H103='Auto Responses'!$J$7),1,0)))))</f>
      </c>
      <c r="M103" s="4">
        <f>VLOOKUP($A103,'Institution Evaluation'!$A$56:$K$345,11,0)&amp;""</f>
      </c>
      <c r="N103" s="4">
        <f>IF($J103='Auto Responses'!$J$11,1,IF(AND($J103="",$I103='Auto Responses'!$J$11),1,0))</f>
      </c>
      <c r="O103" s="106">
        <f>IF(OR($E103='Auto Responses'!$L$13,$F103='Auto Responses'!$J$5),'Auto Responses'!$J$5,IF($J103="",$K103,IF($J103='Auto Responses'!$J$13,5,IF($J103='Auto Responses'!$J$12,10,IF($J103='Auto Responses'!$J$11,20,0)))))</f>
      </c>
      <c r="P103" s="106">
        <f>IF(OR($O103='Auto Responses'!$J$5,$L103='Auto Responses'!$J$5),'Auto Responses'!$J$5,$O103*$L103)</f>
      </c>
      <c r="Q103" s="106">
        <f t="shared" si="7"/>
      </c>
      <c r="R103" s="106">
        <f t="shared" si="12"/>
      </c>
      <c r="S103" s="106">
        <f t="shared" si="8"/>
      </c>
      <c r="T103" s="106">
        <f t="shared" si="9"/>
      </c>
      <c r="U103" s="106">
        <f t="shared" si="13"/>
      </c>
      <c r="V103" s="106">
        <f t="shared" si="10"/>
      </c>
    </row>
    <row r="104" spans="1:22" ht="60" x14ac:dyDescent="0.2">
      <c r="A104" s="4">
        <f>Questions!$A104</f>
      </c>
      <c r="B104" s="4">
        <f t="shared" si="11"/>
      </c>
      <c r="C104" s="4">
        <f>VLOOKUP($A104,Questions!$A$3:$L$333,2,0)&amp;""</f>
      </c>
      <c r="D104" s="4">
        <f>VLOOKUP($A104,Questions!$A$3:$L$333,11,0)&amp;""</f>
      </c>
      <c r="E104" s="4">
        <f>VLOOKUP($A104,Questions!$A$3:$L$333,12,0)&amp;""</f>
      </c>
      <c r="F104" s="4">
        <f>VLOOKUP($A104,'Institution Evaluation'!$A$56:$K$345,3,0)&amp;""</f>
      </c>
      <c r="G104" s="4">
        <f>VLOOKUP($A104,'Institution Evaluation'!$A$56:$K$345,7,0)&amp;""</f>
      </c>
      <c r="H104" s="4">
        <f>VLOOKUP($A104,'Institution Evaluation'!$A$56:$K$345,8,0)&amp;""</f>
      </c>
      <c r="I104" s="4">
        <f>VLOOKUP($A104,'Institution Evaluation'!$A$56:$K$345,9,0)&amp;""</f>
      </c>
      <c r="J104" s="4">
        <f>VLOOKUP($A104,'Institution Evaluation'!$A$56:$K$345,10,0)&amp;""</f>
      </c>
      <c r="K104" s="4">
        <f>IF($I104='Auto Responses'!$J$11,20,IF($I104='Auto Responses'!$J$13,5,10))</f>
      </c>
      <c r="L104" s="106">
        <f>IF($E104='Auto Responses'!$L$13, 'Auto Responses'!$J$5,IF(AND($D104='Auto Responses'!$J$27,$H104=""),'Auto Responses'!$J$5,IF(AND($D104='Auto Responses'!$J$27,$H104='Auto Responses'!$J$7),1,IF(AND($D104='Auto Responses'!$J$27,$H104='Auto Responses'!$J$8),0,IF(OR(AND($F104=$G104,$H104=""),$H104='Auto Responses'!$J$7),1,0)))))</f>
      </c>
      <c r="M104" s="4">
        <f>VLOOKUP($A104,'Institution Evaluation'!$A$56:$K$345,11,0)&amp;""</f>
      </c>
      <c r="N104" s="4">
        <f>IF($J104='Auto Responses'!$J$11,1,IF(AND($J104="",$I104='Auto Responses'!$J$11),1,0))</f>
      </c>
      <c r="O104" s="106">
        <f>IF(OR($E104='Auto Responses'!$L$13,$F104='Auto Responses'!$J$5),'Auto Responses'!$J$5,IF($J104="",$K104,IF($J104='Auto Responses'!$J$13,5,IF($J104='Auto Responses'!$J$12,10,IF($J104='Auto Responses'!$J$11,20,0)))))</f>
      </c>
      <c r="P104" s="106">
        <f>IF(OR($O104='Auto Responses'!$J$5,$L104='Auto Responses'!$J$5),'Auto Responses'!$J$5,$O104*$L104)</f>
      </c>
      <c r="Q104" s="106">
        <f t="shared" si="7"/>
      </c>
      <c r="R104" s="106">
        <f t="shared" si="12"/>
      </c>
      <c r="S104" s="106">
        <f t="shared" si="8"/>
      </c>
      <c r="T104" s="106">
        <f t="shared" si="9"/>
      </c>
      <c r="U104" s="106">
        <f t="shared" si="13"/>
      </c>
      <c r="V104" s="106">
        <f t="shared" si="10"/>
      </c>
    </row>
    <row r="105" spans="1:22" ht="60" x14ac:dyDescent="0.2">
      <c r="A105" s="4">
        <f>Questions!$A105</f>
      </c>
      <c r="B105" s="4">
        <f t="shared" si="11"/>
      </c>
      <c r="C105" s="4">
        <f>VLOOKUP($A105,Questions!$A$3:$L$333,2,0)&amp;""</f>
      </c>
      <c r="D105" s="4">
        <f>VLOOKUP($A105,Questions!$A$3:$L$333,11,0)&amp;""</f>
      </c>
      <c r="E105" s="4">
        <f>VLOOKUP($A105,Questions!$A$3:$L$333,12,0)&amp;""</f>
      </c>
      <c r="F105" s="4">
        <f>VLOOKUP($A105,'Institution Evaluation'!$A$56:$K$345,3,0)&amp;""</f>
      </c>
      <c r="G105" s="4">
        <f>VLOOKUP($A105,'Institution Evaluation'!$A$56:$K$345,7,0)&amp;""</f>
      </c>
      <c r="H105" s="4">
        <f>VLOOKUP($A105,'Institution Evaluation'!$A$56:$K$345,8,0)&amp;""</f>
      </c>
      <c r="I105" s="4">
        <f>VLOOKUP($A105,'Institution Evaluation'!$A$56:$K$345,9,0)&amp;""</f>
      </c>
      <c r="J105" s="4">
        <f>VLOOKUP($A105,'Institution Evaluation'!$A$56:$K$345,10,0)&amp;""</f>
      </c>
      <c r="K105" s="4">
        <f>IF($I105='Auto Responses'!$J$11,20,IF($I105='Auto Responses'!$J$13,5,10))</f>
      </c>
      <c r="L105" s="106">
        <f>IF($E105='Auto Responses'!$L$13, 'Auto Responses'!$J$5,IF(AND($D105='Auto Responses'!$J$27,$H105=""),'Auto Responses'!$J$5,IF(AND($D105='Auto Responses'!$J$27,$H105='Auto Responses'!$J$7),1,IF(AND($D105='Auto Responses'!$J$27,$H105='Auto Responses'!$J$8),0,IF(OR(AND($F105=$G105,$H105=""),$H105='Auto Responses'!$J$7),1,0)))))</f>
      </c>
      <c r="M105" s="4">
        <f>VLOOKUP($A105,'Institution Evaluation'!$A$56:$K$345,11,0)&amp;""</f>
      </c>
      <c r="N105" s="4">
        <f>IF($J105='Auto Responses'!$J$11,1,IF(AND($J105="",$I105='Auto Responses'!$J$11),1,0))</f>
      </c>
      <c r="O105" s="106">
        <f>IF(OR($E105='Auto Responses'!$L$13,$F105='Auto Responses'!$J$5),'Auto Responses'!$J$5,IF($J105="",$K105,IF($J105='Auto Responses'!$J$13,5,IF($J105='Auto Responses'!$J$12,10,IF($J105='Auto Responses'!$J$11,20,0)))))</f>
      </c>
      <c r="P105" s="106">
        <f>IF(OR($O105='Auto Responses'!$J$5,$L105='Auto Responses'!$J$5),'Auto Responses'!$J$5,$O105*$L105)</f>
      </c>
      <c r="Q105" s="106">
        <f t="shared" si="7"/>
      </c>
      <c r="R105" s="106">
        <f t="shared" si="12"/>
      </c>
      <c r="S105" s="106">
        <f t="shared" si="8"/>
      </c>
      <c r="T105" s="106">
        <f t="shared" si="9"/>
      </c>
      <c r="U105" s="106">
        <f t="shared" si="13"/>
      </c>
      <c r="V105" s="106">
        <f t="shared" si="10"/>
      </c>
    </row>
    <row r="106" spans="1:22" ht="60" x14ac:dyDescent="0.2">
      <c r="A106" s="4">
        <f>Questions!$A106</f>
      </c>
      <c r="B106" s="4">
        <f t="shared" si="11"/>
      </c>
      <c r="C106" s="4">
        <f>VLOOKUP($A106,Questions!$A$3:$L$333,2,0)&amp;""</f>
      </c>
      <c r="D106" s="4">
        <f>VLOOKUP($A106,Questions!$A$3:$L$333,11,0)&amp;""</f>
      </c>
      <c r="E106" s="4">
        <f>VLOOKUP($A106,Questions!$A$3:$L$333,12,0)&amp;""</f>
      </c>
      <c r="F106" s="4">
        <f>VLOOKUP($A106,'Institution Evaluation'!$A$56:$K$345,3,0)&amp;""</f>
      </c>
      <c r="G106" s="4">
        <f>VLOOKUP($A106,'Institution Evaluation'!$A$56:$K$345,7,0)&amp;""</f>
      </c>
      <c r="H106" s="4">
        <f>VLOOKUP($A106,'Institution Evaluation'!$A$56:$K$345,8,0)&amp;""</f>
      </c>
      <c r="I106" s="4">
        <f>VLOOKUP($A106,'Institution Evaluation'!$A$56:$K$345,9,0)&amp;""</f>
      </c>
      <c r="J106" s="4">
        <f>VLOOKUP($A106,'Institution Evaluation'!$A$56:$K$345,10,0)&amp;""</f>
      </c>
      <c r="K106" s="4">
        <f>IF($I106='Auto Responses'!$J$11,20,IF($I106='Auto Responses'!$J$13,5,10))</f>
      </c>
      <c r="L106" s="106">
        <f>IF($E106='Auto Responses'!$L$13, 'Auto Responses'!$J$5,IF(AND($D106='Auto Responses'!$J$27,$H106=""),'Auto Responses'!$J$5,IF(AND($D106='Auto Responses'!$J$27,$H106='Auto Responses'!$J$7),1,IF(AND($D106='Auto Responses'!$J$27,$H106='Auto Responses'!$J$8),0,IF(OR(AND($F106=$G106,$H106=""),$H106='Auto Responses'!$J$7),1,0)))))</f>
      </c>
      <c r="M106" s="4">
        <f>VLOOKUP($A106,'Institution Evaluation'!$A$56:$K$345,11,0)&amp;""</f>
      </c>
      <c r="N106" s="4">
        <f>IF($J106='Auto Responses'!$J$11,1,IF(AND($J106="",$I106='Auto Responses'!$J$11),1,0))</f>
      </c>
      <c r="O106" s="106">
        <f>IF(OR($E106='Auto Responses'!$L$13,$F106='Auto Responses'!$J$5),'Auto Responses'!$J$5,IF($J106="",$K106,IF($J106='Auto Responses'!$J$13,5,IF($J106='Auto Responses'!$J$12,10,IF($J106='Auto Responses'!$J$11,20,0)))))</f>
      </c>
      <c r="P106" s="106">
        <f>IF(OR($O106='Auto Responses'!$J$5,$L106='Auto Responses'!$J$5),'Auto Responses'!$J$5,$O106*$L106)</f>
      </c>
      <c r="Q106" s="106">
        <f t="shared" si="7"/>
      </c>
      <c r="R106" s="106">
        <f t="shared" si="12"/>
      </c>
      <c r="S106" s="106">
        <f t="shared" si="8"/>
      </c>
      <c r="T106" s="106">
        <f t="shared" si="9"/>
      </c>
      <c r="U106" s="106">
        <f t="shared" si="13"/>
      </c>
      <c r="V106" s="106">
        <f t="shared" si="10"/>
      </c>
    </row>
    <row r="107" spans="1:22" ht="60" x14ac:dyDescent="0.2">
      <c r="A107" s="4">
        <f>Questions!$A107</f>
      </c>
      <c r="B107" s="4">
        <f t="shared" si="11"/>
      </c>
      <c r="C107" s="4">
        <f>VLOOKUP($A107,Questions!$A$3:$L$333,2,0)&amp;""</f>
      </c>
      <c r="D107" s="4">
        <f>VLOOKUP($A107,Questions!$A$3:$L$333,11,0)&amp;""</f>
      </c>
      <c r="E107" s="4">
        <f>VLOOKUP($A107,Questions!$A$3:$L$333,12,0)&amp;""</f>
      </c>
      <c r="F107" s="4">
        <f>VLOOKUP($A107,'Institution Evaluation'!$A$56:$K$345,3,0)&amp;""</f>
      </c>
      <c r="G107" s="4">
        <f>VLOOKUP($A107,'Institution Evaluation'!$A$56:$K$345,7,0)&amp;""</f>
      </c>
      <c r="H107" s="4">
        <f>VLOOKUP($A107,'Institution Evaluation'!$A$56:$K$345,8,0)&amp;""</f>
      </c>
      <c r="I107" s="4">
        <f>VLOOKUP($A107,'Institution Evaluation'!$A$56:$K$345,9,0)&amp;""</f>
      </c>
      <c r="J107" s="4">
        <f>VLOOKUP($A107,'Institution Evaluation'!$A$56:$K$345,10,0)&amp;""</f>
      </c>
      <c r="K107" s="4">
        <f>IF($I107='Auto Responses'!$J$11,20,IF($I107='Auto Responses'!$J$13,5,10))</f>
      </c>
      <c r="L107" s="106">
        <f>IF($E107='Auto Responses'!$L$13, 'Auto Responses'!$J$5,IF(AND($D107='Auto Responses'!$J$27,$H107=""),'Auto Responses'!$J$5,IF(AND($D107='Auto Responses'!$J$27,$H107='Auto Responses'!$J$7),1,IF(AND($D107='Auto Responses'!$J$27,$H107='Auto Responses'!$J$8),0,IF(OR(AND($F107=$G107,$H107=""),$H107='Auto Responses'!$J$7),1,0)))))</f>
      </c>
      <c r="M107" s="4">
        <f>VLOOKUP($A107,'Institution Evaluation'!$A$56:$K$345,11,0)&amp;""</f>
      </c>
      <c r="N107" s="4">
        <f>IF($J107='Auto Responses'!$J$11,1,IF(AND($J107="",$I107='Auto Responses'!$J$11),1,0))</f>
      </c>
      <c r="O107" s="106">
        <f>IF(OR($E107='Auto Responses'!$L$13,$F107='Auto Responses'!$J$5),'Auto Responses'!$J$5,IF($J107="",$K107,IF($J107='Auto Responses'!$J$13,5,IF($J107='Auto Responses'!$J$12,10,IF($J107='Auto Responses'!$J$11,20,0)))))</f>
      </c>
      <c r="P107" s="106">
        <f>IF(OR($O107='Auto Responses'!$J$5,$L107='Auto Responses'!$J$5),'Auto Responses'!$J$5,$O107*$L107)</f>
      </c>
      <c r="Q107" s="106">
        <f t="shared" si="7"/>
      </c>
      <c r="R107" s="106">
        <f t="shared" si="12"/>
      </c>
      <c r="S107" s="106">
        <f t="shared" si="8"/>
      </c>
      <c r="T107" s="106">
        <f t="shared" si="9"/>
      </c>
      <c r="U107" s="106">
        <f t="shared" si="13"/>
      </c>
      <c r="V107" s="106">
        <f t="shared" si="10"/>
      </c>
    </row>
    <row r="108" spans="1:22" ht="60" x14ac:dyDescent="0.2">
      <c r="A108" s="4">
        <f>Questions!$A108</f>
      </c>
      <c r="B108" s="4">
        <f t="shared" si="11"/>
      </c>
      <c r="C108" s="4">
        <f>VLOOKUP($A108,Questions!$A$3:$L$333,2,0)&amp;""</f>
      </c>
      <c r="D108" s="4">
        <f>VLOOKUP($A108,Questions!$A$3:$L$333,11,0)&amp;""</f>
      </c>
      <c r="E108" s="4">
        <f>VLOOKUP($A108,Questions!$A$3:$L$333,12,0)&amp;""</f>
      </c>
      <c r="F108" s="4">
        <f>VLOOKUP($A108,'Institution Evaluation'!$A$56:$K$345,3,0)&amp;""</f>
      </c>
      <c r="G108" s="4">
        <f>VLOOKUP($A108,'Institution Evaluation'!$A$56:$K$345,7,0)&amp;""</f>
      </c>
      <c r="H108" s="4">
        <f>VLOOKUP($A108,'Institution Evaluation'!$A$56:$K$345,8,0)&amp;""</f>
      </c>
      <c r="I108" s="4">
        <f>VLOOKUP($A108,'Institution Evaluation'!$A$56:$K$345,9,0)&amp;""</f>
      </c>
      <c r="J108" s="4">
        <f>VLOOKUP($A108,'Institution Evaluation'!$A$56:$K$345,10,0)&amp;""</f>
      </c>
      <c r="K108" s="4">
        <f>IF($I108='Auto Responses'!$J$11,20,IF($I108='Auto Responses'!$J$13,5,10))</f>
      </c>
      <c r="L108" s="106">
        <f>IF($E108='Auto Responses'!$L$13, 'Auto Responses'!$J$5,IF(AND($D108='Auto Responses'!$J$27,$H108=""),'Auto Responses'!$J$5,IF(AND($D108='Auto Responses'!$J$27,$H108='Auto Responses'!$J$7),1,IF(AND($D108='Auto Responses'!$J$27,$H108='Auto Responses'!$J$8),0,IF(OR(AND($F108=$G108,$H108=""),$H108='Auto Responses'!$J$7),1,0)))))</f>
      </c>
      <c r="M108" s="4">
        <f>VLOOKUP($A108,'Institution Evaluation'!$A$56:$K$345,11,0)&amp;""</f>
      </c>
      <c r="N108" s="4">
        <f>IF($J108='Auto Responses'!$J$11,1,IF(AND($J108="",$I108='Auto Responses'!$J$11),1,0))</f>
      </c>
      <c r="O108" s="106">
        <f>IF(OR($E108='Auto Responses'!$L$13,$F108='Auto Responses'!$J$5),'Auto Responses'!$J$5,IF($J108="",$K108,IF($J108='Auto Responses'!$J$13,5,IF($J108='Auto Responses'!$J$12,10,IF($J108='Auto Responses'!$J$11,20,0)))))</f>
      </c>
      <c r="P108" s="106">
        <f>IF(OR($O108='Auto Responses'!$J$5,$L108='Auto Responses'!$J$5),'Auto Responses'!$J$5,$O108*$L108)</f>
      </c>
      <c r="Q108" s="106">
        <f t="shared" si="7"/>
      </c>
      <c r="R108" s="106">
        <f t="shared" si="12"/>
      </c>
      <c r="S108" s="106">
        <f t="shared" si="8"/>
      </c>
      <c r="T108" s="106">
        <f t="shared" si="9"/>
      </c>
      <c r="U108" s="106">
        <f t="shared" si="13"/>
      </c>
      <c r="V108" s="106">
        <f t="shared" si="10"/>
      </c>
    </row>
    <row r="109" spans="1:22" ht="60" x14ac:dyDescent="0.2">
      <c r="A109" s="4">
        <f>Questions!$A109</f>
      </c>
      <c r="B109" s="4">
        <f t="shared" si="11"/>
      </c>
      <c r="C109" s="4">
        <f>VLOOKUP($A109,Questions!$A$3:$L$333,2,0)&amp;""</f>
      </c>
      <c r="D109" s="4">
        <f>VLOOKUP($A109,Questions!$A$3:$L$333,11,0)&amp;""</f>
      </c>
      <c r="E109" s="4">
        <f>VLOOKUP($A109,Questions!$A$3:$L$333,12,0)&amp;""</f>
      </c>
      <c r="F109" s="4">
        <f>VLOOKUP($A109,'Institution Evaluation'!$A$56:$K$345,3,0)&amp;""</f>
      </c>
      <c r="G109" s="4">
        <f>VLOOKUP($A109,'Institution Evaluation'!$A$56:$K$345,7,0)&amp;""</f>
      </c>
      <c r="H109" s="4">
        <f>VLOOKUP($A109,'Institution Evaluation'!$A$56:$K$345,8,0)&amp;""</f>
      </c>
      <c r="I109" s="4">
        <f>VLOOKUP($A109,'Institution Evaluation'!$A$56:$K$345,9,0)&amp;""</f>
      </c>
      <c r="J109" s="4">
        <f>VLOOKUP($A109,'Institution Evaluation'!$A$56:$K$345,10,0)&amp;""</f>
      </c>
      <c r="K109" s="4">
        <f>IF($I109='Auto Responses'!$J$11,20,IF($I109='Auto Responses'!$J$13,5,10))</f>
      </c>
      <c r="L109" s="106">
        <f>IF($E109='Auto Responses'!$L$13, 'Auto Responses'!$J$5,IF(AND($D109='Auto Responses'!$J$27,$H109=""),'Auto Responses'!$J$5,IF(AND($D109='Auto Responses'!$J$27,$H109='Auto Responses'!$J$7),1,IF(AND($D109='Auto Responses'!$J$27,$H109='Auto Responses'!$J$8),0,IF(OR(AND($F109=$G109,$H109=""),$H109='Auto Responses'!$J$7),1,0)))))</f>
      </c>
      <c r="M109" s="4">
        <f>VLOOKUP($A109,'Institution Evaluation'!$A$56:$K$345,11,0)&amp;""</f>
      </c>
      <c r="N109" s="4">
        <f>IF($J109='Auto Responses'!$J$11,1,IF(AND($J109="",$I109='Auto Responses'!$J$11),1,0))</f>
      </c>
      <c r="O109" s="106">
        <f>IF(OR($E109='Auto Responses'!$L$13,$F109='Auto Responses'!$J$5),'Auto Responses'!$J$5,IF($J109="",$K109,IF($J109='Auto Responses'!$J$13,5,IF($J109='Auto Responses'!$J$12,10,IF($J109='Auto Responses'!$J$11,20,0)))))</f>
      </c>
      <c r="P109" s="106">
        <f>IF(OR($O109='Auto Responses'!$J$5,$L109='Auto Responses'!$J$5),'Auto Responses'!$J$5,$O109*$L109)</f>
      </c>
      <c r="Q109" s="106">
        <f t="shared" si="7"/>
      </c>
      <c r="R109" s="106">
        <f t="shared" si="12"/>
      </c>
      <c r="S109" s="106">
        <f t="shared" si="8"/>
      </c>
      <c r="T109" s="106">
        <f t="shared" si="9"/>
      </c>
      <c r="U109" s="106">
        <f t="shared" si="13"/>
      </c>
      <c r="V109" s="106">
        <f t="shared" si="10"/>
      </c>
    </row>
    <row r="110" spans="1:22" ht="60" x14ac:dyDescent="0.2">
      <c r="A110" s="4">
        <f>Questions!$A110</f>
      </c>
      <c r="B110" s="4">
        <f t="shared" si="11"/>
      </c>
      <c r="C110" s="4">
        <f>VLOOKUP($A110,Questions!$A$3:$L$333,2,0)&amp;""</f>
      </c>
      <c r="D110" s="4">
        <f>VLOOKUP($A110,Questions!$A$3:$L$333,11,0)&amp;""</f>
      </c>
      <c r="E110" s="4">
        <f>VLOOKUP($A110,Questions!$A$3:$L$333,12,0)&amp;""</f>
      </c>
      <c r="F110" s="4">
        <f>VLOOKUP($A110,'Institution Evaluation'!$A$56:$K$345,3,0)&amp;""</f>
      </c>
      <c r="G110" s="4">
        <f>VLOOKUP($A110,'Institution Evaluation'!$A$56:$K$345,7,0)&amp;""</f>
      </c>
      <c r="H110" s="4">
        <f>VLOOKUP($A110,'Institution Evaluation'!$A$56:$K$345,8,0)&amp;""</f>
      </c>
      <c r="I110" s="4">
        <f>VLOOKUP($A110,'Institution Evaluation'!$A$56:$K$345,9,0)&amp;""</f>
      </c>
      <c r="J110" s="4">
        <f>VLOOKUP($A110,'Institution Evaluation'!$A$56:$K$345,10,0)&amp;""</f>
      </c>
      <c r="K110" s="4">
        <f>IF($I110='Auto Responses'!$J$11,20,IF($I110='Auto Responses'!$J$13,5,10))</f>
      </c>
      <c r="L110" s="106">
        <f>IF($E110='Auto Responses'!$L$13, 'Auto Responses'!$J$5,IF(AND($D110='Auto Responses'!$J$27,$H110=""),'Auto Responses'!$J$5,IF(AND($D110='Auto Responses'!$J$27,$H110='Auto Responses'!$J$7),1,IF(AND($D110='Auto Responses'!$J$27,$H110='Auto Responses'!$J$8),0,IF(OR(AND($F110=$G110,$H110=""),$H110='Auto Responses'!$J$7),1,0)))))</f>
      </c>
      <c r="M110" s="4">
        <f>VLOOKUP($A110,'Institution Evaluation'!$A$56:$K$345,11,0)&amp;""</f>
      </c>
      <c r="N110" s="4">
        <f>IF($J110='Auto Responses'!$J$11,1,IF(AND($J110="",$I110='Auto Responses'!$J$11),1,0))</f>
      </c>
      <c r="O110" s="106">
        <f>IF(OR($E110='Auto Responses'!$L$13,$F110='Auto Responses'!$J$5),'Auto Responses'!$J$5,IF($J110="",$K110,IF($J110='Auto Responses'!$J$13,5,IF($J110='Auto Responses'!$J$12,10,IF($J110='Auto Responses'!$J$11,20,0)))))</f>
      </c>
      <c r="P110" s="106">
        <f>IF(OR($O110='Auto Responses'!$J$5,$L110='Auto Responses'!$J$5),'Auto Responses'!$J$5,$O110*$L110)</f>
      </c>
      <c r="Q110" s="106">
        <f t="shared" si="7"/>
      </c>
      <c r="R110" s="106">
        <f t="shared" si="12"/>
      </c>
      <c r="S110" s="106">
        <f t="shared" si="8"/>
      </c>
      <c r="T110" s="106">
        <f t="shared" si="9"/>
      </c>
      <c r="U110" s="106">
        <f t="shared" si="13"/>
      </c>
      <c r="V110" s="106">
        <f t="shared" si="10"/>
      </c>
    </row>
    <row r="111" spans="1:22" ht="60" x14ac:dyDescent="0.2">
      <c r="A111" s="4">
        <f>Questions!$A111</f>
      </c>
      <c r="B111" s="4">
        <f t="shared" si="11"/>
      </c>
      <c r="C111" s="4">
        <f>VLOOKUP($A111,Questions!$A$3:$L$333,2,0)&amp;""</f>
      </c>
      <c r="D111" s="4">
        <f>VLOOKUP($A111,Questions!$A$3:$L$333,11,0)&amp;""</f>
      </c>
      <c r="E111" s="4">
        <f>VLOOKUP($A111,Questions!$A$3:$L$333,12,0)&amp;""</f>
      </c>
      <c r="F111" s="4">
        <f>VLOOKUP($A111,'Institution Evaluation'!$A$56:$K$345,3,0)&amp;""</f>
      </c>
      <c r="G111" s="4">
        <f>VLOOKUP($A111,'Institution Evaluation'!$A$56:$K$345,7,0)&amp;""</f>
      </c>
      <c r="H111" s="4">
        <f>VLOOKUP($A111,'Institution Evaluation'!$A$56:$K$345,8,0)&amp;""</f>
      </c>
      <c r="I111" s="4">
        <f>VLOOKUP($A111,'Institution Evaluation'!$A$56:$K$345,9,0)&amp;""</f>
      </c>
      <c r="J111" s="4">
        <f>VLOOKUP($A111,'Institution Evaluation'!$A$56:$K$345,10,0)&amp;""</f>
      </c>
      <c r="K111" s="4">
        <f>IF($I111='Auto Responses'!$J$11,20,IF($I111='Auto Responses'!$J$13,5,10))</f>
      </c>
      <c r="L111" s="106">
        <f>IF($E111='Auto Responses'!$L$13, 'Auto Responses'!$J$5,IF(AND($D111='Auto Responses'!$J$27,$H111=""),'Auto Responses'!$J$5,IF(AND($D111='Auto Responses'!$J$27,$H111='Auto Responses'!$J$7),1,IF(AND($D111='Auto Responses'!$J$27,$H111='Auto Responses'!$J$8),0,IF(OR(AND($F111=$G111,$H111=""),$H111='Auto Responses'!$J$7),1,0)))))</f>
      </c>
      <c r="M111" s="4">
        <f>VLOOKUP($A111,'Institution Evaluation'!$A$56:$K$345,11,0)&amp;""</f>
      </c>
      <c r="N111" s="4">
        <f>IF($J111='Auto Responses'!$J$11,1,IF(AND($J111="",$I111='Auto Responses'!$J$11),1,0))</f>
      </c>
      <c r="O111" s="106">
        <f>IF(OR($E111='Auto Responses'!$L$13,$F111='Auto Responses'!$J$5),'Auto Responses'!$J$5,IF($J111="",$K111,IF($J111='Auto Responses'!$J$13,5,IF($J111='Auto Responses'!$J$12,10,IF($J111='Auto Responses'!$J$11,20,0)))))</f>
      </c>
      <c r="P111" s="106">
        <f>IF(OR($O111='Auto Responses'!$J$5,$L111='Auto Responses'!$J$5),'Auto Responses'!$J$5,$O111*$L111)</f>
      </c>
      <c r="Q111" s="106">
        <f t="shared" si="7"/>
      </c>
      <c r="R111" s="106">
        <f t="shared" si="12"/>
      </c>
      <c r="S111" s="106">
        <f t="shared" si="8"/>
      </c>
      <c r="T111" s="106">
        <f t="shared" si="9"/>
      </c>
      <c r="U111" s="106">
        <f t="shared" si="13"/>
      </c>
      <c r="V111" s="106">
        <f t="shared" si="10"/>
      </c>
    </row>
    <row r="112" spans="1:22" ht="60" x14ac:dyDescent="0.2">
      <c r="A112" s="4">
        <f>Questions!$A112</f>
      </c>
      <c r="B112" s="4">
        <f t="shared" si="11"/>
      </c>
      <c r="C112" s="4">
        <f>VLOOKUP($A112,Questions!$A$3:$L$333,2,0)&amp;""</f>
      </c>
      <c r="D112" s="4">
        <f>VLOOKUP($A112,Questions!$A$3:$L$333,11,0)&amp;""</f>
      </c>
      <c r="E112" s="4">
        <f>VLOOKUP($A112,Questions!$A$3:$L$333,12,0)&amp;""</f>
      </c>
      <c r="F112" s="4">
        <f>VLOOKUP($A112,'Institution Evaluation'!$A$56:$K$345,3,0)&amp;""</f>
      </c>
      <c r="G112" s="4">
        <f>VLOOKUP($A112,'Institution Evaluation'!$A$56:$K$345,7,0)&amp;""</f>
      </c>
      <c r="H112" s="4">
        <f>VLOOKUP($A112,'Institution Evaluation'!$A$56:$K$345,8,0)&amp;""</f>
      </c>
      <c r="I112" s="4">
        <f>VLOOKUP($A112,'Institution Evaluation'!$A$56:$K$345,9,0)&amp;""</f>
      </c>
      <c r="J112" s="4">
        <f>VLOOKUP($A112,'Institution Evaluation'!$A$56:$K$345,10,0)&amp;""</f>
      </c>
      <c r="K112" s="4">
        <f>IF($I112='Auto Responses'!$J$11,20,IF($I112='Auto Responses'!$J$13,5,10))</f>
      </c>
      <c r="L112" s="106">
        <f>IF($E112='Auto Responses'!$L$13, 'Auto Responses'!$J$5,IF(AND($D112='Auto Responses'!$J$27,$H112=""),'Auto Responses'!$J$5,IF(AND($D112='Auto Responses'!$J$27,$H112='Auto Responses'!$J$7),1,IF(AND($D112='Auto Responses'!$J$27,$H112='Auto Responses'!$J$8),0,IF(OR(AND($F112=$G112,$H112=""),$H112='Auto Responses'!$J$7),1,0)))))</f>
      </c>
      <c r="M112" s="4">
        <f>VLOOKUP($A112,'Institution Evaluation'!$A$56:$K$345,11,0)&amp;""</f>
      </c>
      <c r="N112" s="4">
        <f>IF($J112='Auto Responses'!$J$11,1,IF(AND($J112="",$I112='Auto Responses'!$J$11),1,0))</f>
      </c>
      <c r="O112" s="106">
        <f>IF(OR($F$17='Auto Responses'!$J$4,$E112='Auto Responses'!$L$13,$F112='Auto Responses'!$J$5),'Auto Responses'!$J$5,IF($J112="",$K112,IF($J112='Auto Responses'!$J$13,5,IF($J112='Auto Responses'!$J$12,10,IF($J112='Auto Responses'!$J$11,20,0)))))</f>
      </c>
      <c r="P112" s="106">
        <f>IF(OR($O112='Auto Responses'!$J$5,$L112='Auto Responses'!$J$5),'Auto Responses'!$J$5,$O112*$L112)</f>
      </c>
      <c r="Q112" s="106">
        <f t="shared" si="7"/>
      </c>
      <c r="R112" s="106">
        <f t="shared" si="12"/>
      </c>
      <c r="S112" s="106">
        <f t="shared" si="8"/>
      </c>
      <c r="T112" s="106">
        <f t="shared" si="9"/>
      </c>
      <c r="U112" s="106">
        <f t="shared" si="13"/>
      </c>
      <c r="V112" s="106">
        <f t="shared" si="10"/>
      </c>
    </row>
    <row r="113" spans="1:22" ht="60" x14ac:dyDescent="0.2">
      <c r="A113" s="4">
        <f>Questions!$A113</f>
      </c>
      <c r="B113" s="4">
        <f t="shared" si="11"/>
      </c>
      <c r="C113" s="4">
        <f>VLOOKUP($A113,Questions!$A$3:$L$333,2,0)&amp;""</f>
      </c>
      <c r="D113" s="4">
        <f>VLOOKUP($A113,Questions!$A$3:$L$333,11,0)&amp;""</f>
      </c>
      <c r="E113" s="4">
        <f>VLOOKUP($A113,Questions!$A$3:$L$333,12,0)&amp;""</f>
      </c>
      <c r="F113" s="4">
        <f>VLOOKUP($A113,'Institution Evaluation'!$A$56:$K$345,3,0)&amp;""</f>
      </c>
      <c r="G113" s="4">
        <f>VLOOKUP($A113,'Institution Evaluation'!$A$56:$K$345,7,0)&amp;""</f>
      </c>
      <c r="H113" s="4">
        <f>VLOOKUP($A113,'Institution Evaluation'!$A$56:$K$345,8,0)&amp;""</f>
      </c>
      <c r="I113" s="4">
        <f>VLOOKUP($A113,'Institution Evaluation'!$A$56:$K$345,9,0)&amp;""</f>
      </c>
      <c r="J113" s="4">
        <f>VLOOKUP($A113,'Institution Evaluation'!$A$56:$K$345,10,0)&amp;""</f>
      </c>
      <c r="K113" s="4">
        <f>IF($I113='Auto Responses'!$J$11,20,IF($I113='Auto Responses'!$J$13,5,10))</f>
      </c>
      <c r="L113" s="106">
        <f>IF($E113='Auto Responses'!$L$13, 'Auto Responses'!$J$5,IF(AND($D113='Auto Responses'!$J$27,$H113=""),'Auto Responses'!$J$5,IF(AND($D113='Auto Responses'!$J$27,$H113='Auto Responses'!$J$7),1,IF(AND($D113='Auto Responses'!$J$27,$H113='Auto Responses'!$J$8),0,IF(OR(AND($F113=$G113,$H113=""),$H113='Auto Responses'!$J$7),1,0)))))</f>
      </c>
      <c r="M113" s="4">
        <f>VLOOKUP($A113,'Institution Evaluation'!$A$56:$K$345,11,0)&amp;""</f>
      </c>
      <c r="N113" s="4">
        <f>IF($J113='Auto Responses'!$J$11,1,IF(AND($J113="",$I113='Auto Responses'!$J$11),1,0))</f>
      </c>
      <c r="O113" s="106">
        <f>IF(OR($F$17='Auto Responses'!$J$4,$E113='Auto Responses'!$L$13,$F113='Auto Responses'!$J$5),'Auto Responses'!$J$5,IF($J113="",$K113,IF($J113='Auto Responses'!$J$13,5,IF($J113='Auto Responses'!$J$12,10,IF($J113='Auto Responses'!$J$11,20,0)))))</f>
      </c>
      <c r="P113" s="106">
        <f>IF(OR($O113='Auto Responses'!$J$5,$L113='Auto Responses'!$J$5),'Auto Responses'!$J$5,$O113*$L113)</f>
      </c>
      <c r="Q113" s="106">
        <f t="shared" si="7"/>
      </c>
      <c r="R113" s="106">
        <f t="shared" si="12"/>
      </c>
      <c r="S113" s="106">
        <f t="shared" si="8"/>
      </c>
      <c r="T113" s="106">
        <f t="shared" si="9"/>
      </c>
      <c r="U113" s="106">
        <f t="shared" si="13"/>
      </c>
      <c r="V113" s="106">
        <f t="shared" si="10"/>
      </c>
    </row>
    <row r="114" spans="1:22" ht="60" x14ac:dyDescent="0.2">
      <c r="A114" s="4">
        <f>Questions!$A114</f>
      </c>
      <c r="B114" s="4">
        <f t="shared" si="11"/>
      </c>
      <c r="C114" s="4">
        <f>VLOOKUP($A114,Questions!$A$3:$L$333,2,0)&amp;""</f>
      </c>
      <c r="D114" s="4">
        <f>VLOOKUP($A114,Questions!$A$3:$L$333,11,0)&amp;""</f>
      </c>
      <c r="E114" s="4">
        <f>VLOOKUP($A114,Questions!$A$3:$L$333,12,0)&amp;""</f>
      </c>
      <c r="F114" s="4">
        <f>VLOOKUP($A114,'Institution Evaluation'!$A$56:$K$345,3,0)&amp;""</f>
      </c>
      <c r="G114" s="4">
        <f>VLOOKUP($A114,'Institution Evaluation'!$A$56:$K$345,7,0)&amp;""</f>
      </c>
      <c r="H114" s="4">
        <f>VLOOKUP($A114,'Institution Evaluation'!$A$56:$K$345,8,0)&amp;""</f>
      </c>
      <c r="I114" s="4">
        <f>VLOOKUP($A114,'Institution Evaluation'!$A$56:$K$345,9,0)&amp;""</f>
      </c>
      <c r="J114" s="4">
        <f>VLOOKUP($A114,'Institution Evaluation'!$A$56:$K$345,10,0)&amp;""</f>
      </c>
      <c r="K114" s="4">
        <f>IF($I114='Auto Responses'!$J$11,20,IF($I114='Auto Responses'!$J$13,5,10))</f>
      </c>
      <c r="L114" s="106">
        <f>IF($E114='Auto Responses'!$L$13, 'Auto Responses'!$J$5,IF(AND($D114='Auto Responses'!$J$27,$H114=""),'Auto Responses'!$J$5,IF(AND($D114='Auto Responses'!$J$27,$H114='Auto Responses'!$J$7),1,IF(AND($D114='Auto Responses'!$J$27,$H114='Auto Responses'!$J$8),0,IF(OR(AND($F114=$G114,$H114=""),$H114='Auto Responses'!$J$7),1,0)))))</f>
      </c>
      <c r="M114" s="4">
        <f>VLOOKUP($A114,'Institution Evaluation'!$A$56:$K$345,11,0)&amp;""</f>
      </c>
      <c r="N114" s="4">
        <f>IF($J114='Auto Responses'!$J$11,1,IF(AND($J114="",$I114='Auto Responses'!$J$11),1,0))</f>
      </c>
      <c r="O114" s="106">
        <f>IF(OR($F$17='Auto Responses'!$J$4,$E114='Auto Responses'!$L$13,$F114='Auto Responses'!$J$5),'Auto Responses'!$J$5,IF($J114="",$K114,IF($J114='Auto Responses'!$J$13,5,IF($J114='Auto Responses'!$J$12,10,IF($J114='Auto Responses'!$J$11,20,0)))))</f>
      </c>
      <c r="P114" s="106">
        <f>IF(OR($O114='Auto Responses'!$J$5,$L114='Auto Responses'!$J$5),'Auto Responses'!$J$5,$O114*$L114)</f>
      </c>
      <c r="Q114" s="106">
        <f t="shared" si="7"/>
      </c>
      <c r="R114" s="106">
        <f t="shared" si="12"/>
      </c>
      <c r="S114" s="106">
        <f t="shared" si="8"/>
      </c>
      <c r="T114" s="106">
        <f t="shared" si="9"/>
      </c>
      <c r="U114" s="106">
        <f t="shared" si="13"/>
      </c>
      <c r="V114" s="106">
        <f t="shared" si="10"/>
      </c>
    </row>
    <row r="115" spans="1:22" ht="60" x14ac:dyDescent="0.2">
      <c r="A115" s="4">
        <f>Questions!$A115</f>
      </c>
      <c r="B115" s="4">
        <f t="shared" si="11"/>
      </c>
      <c r="C115" s="4">
        <f>VLOOKUP($A115,Questions!$A$3:$L$333,2,0)&amp;""</f>
      </c>
      <c r="D115" s="4">
        <f>VLOOKUP($A115,Questions!$A$3:$L$333,11,0)&amp;""</f>
      </c>
      <c r="E115" s="4">
        <f>VLOOKUP($A115,Questions!$A$3:$L$333,12,0)&amp;""</f>
      </c>
      <c r="F115" s="4">
        <f>VLOOKUP($A115,'Institution Evaluation'!$A$56:$K$345,3,0)&amp;""</f>
      </c>
      <c r="G115" s="4">
        <f>VLOOKUP($A115,'Institution Evaluation'!$A$56:$K$345,7,0)&amp;""</f>
      </c>
      <c r="H115" s="4">
        <f>VLOOKUP($A115,'Institution Evaluation'!$A$56:$K$345,8,0)&amp;""</f>
      </c>
      <c r="I115" s="4">
        <f>VLOOKUP($A115,'Institution Evaluation'!$A$56:$K$345,9,0)&amp;""</f>
      </c>
      <c r="J115" s="4">
        <f>VLOOKUP($A115,'Institution Evaluation'!$A$56:$K$345,10,0)&amp;""</f>
      </c>
      <c r="K115" s="4">
        <f>IF($I115='Auto Responses'!$J$11,20,IF($I115='Auto Responses'!$J$13,5,10))</f>
      </c>
      <c r="L115" s="106">
        <f>IF($E115='Auto Responses'!$L$13, 'Auto Responses'!$J$5,IF(AND($D115='Auto Responses'!$J$27,$H115=""),'Auto Responses'!$J$5,IF(AND($D115='Auto Responses'!$J$27,$H115='Auto Responses'!$J$7),1,IF(AND($D115='Auto Responses'!$J$27,$H115='Auto Responses'!$J$8),0,IF(OR(AND($F115=$G115,$H115=""),$H115='Auto Responses'!$J$7),1,0)))))</f>
      </c>
      <c r="M115" s="4">
        <f>VLOOKUP($A115,'Institution Evaluation'!$A$56:$K$345,11,0)&amp;""</f>
      </c>
      <c r="N115" s="4">
        <f>IF($J115='Auto Responses'!$J$11,1,IF(AND($J115="",$I115='Auto Responses'!$J$11),1,0))</f>
      </c>
      <c r="O115" s="106">
        <f>IF(OR($F$17='Auto Responses'!$J$4,$E115='Auto Responses'!$L$13,$F115='Auto Responses'!$J$5),'Auto Responses'!$J$5,IF($J115="",$K115,IF($J115='Auto Responses'!$J$13,5,IF($J115='Auto Responses'!$J$12,10,IF($J115='Auto Responses'!$J$11,20,0)))))</f>
      </c>
      <c r="P115" s="106">
        <f>IF(OR($O115='Auto Responses'!$J$5,$L115='Auto Responses'!$J$5),'Auto Responses'!$J$5,$O115*$L115)</f>
      </c>
      <c r="Q115" s="106">
        <f t="shared" si="7"/>
      </c>
      <c r="R115" s="106">
        <f t="shared" si="12"/>
      </c>
      <c r="S115" s="106">
        <f t="shared" si="8"/>
      </c>
      <c r="T115" s="106">
        <f t="shared" si="9"/>
      </c>
      <c r="U115" s="106">
        <f t="shared" si="13"/>
      </c>
      <c r="V115" s="106">
        <f t="shared" si="10"/>
      </c>
    </row>
    <row r="116" spans="1:22" ht="60" x14ac:dyDescent="0.2">
      <c r="A116" s="4">
        <f>Questions!$A116</f>
      </c>
      <c r="B116" s="4">
        <f t="shared" si="11"/>
      </c>
      <c r="C116" s="4">
        <f>VLOOKUP($A116,Questions!$A$3:$L$333,2,0)&amp;""</f>
      </c>
      <c r="D116" s="4">
        <f>VLOOKUP($A116,Questions!$A$3:$L$333,11,0)&amp;""</f>
      </c>
      <c r="E116" s="4">
        <f>VLOOKUP($A116,Questions!$A$3:$L$333,12,0)&amp;""</f>
      </c>
      <c r="F116" s="4">
        <f>VLOOKUP($A116,'Institution Evaluation'!$A$56:$K$345,3,0)&amp;""</f>
      </c>
      <c r="G116" s="4">
        <f>VLOOKUP($A116,'Institution Evaluation'!$A$56:$K$345,7,0)&amp;""</f>
      </c>
      <c r="H116" s="4">
        <f>VLOOKUP($A116,'Institution Evaluation'!$A$56:$K$345,8,0)&amp;""</f>
      </c>
      <c r="I116" s="4">
        <f>VLOOKUP($A116,'Institution Evaluation'!$A$56:$K$345,9,0)&amp;""</f>
      </c>
      <c r="J116" s="4">
        <f>VLOOKUP($A116,'Institution Evaluation'!$A$56:$K$345,10,0)&amp;""</f>
      </c>
      <c r="K116" s="4">
        <f>IF($I116='Auto Responses'!$J$11,20,IF($I116='Auto Responses'!$J$13,5,10))</f>
      </c>
      <c r="L116" s="106">
        <f>IF($E116='Auto Responses'!$L$13, 'Auto Responses'!$J$5,IF(AND($D116='Auto Responses'!$J$27,$H116=""),'Auto Responses'!$J$5,IF(AND($D116='Auto Responses'!$J$27,$H116='Auto Responses'!$J$7),1,IF(AND($D116='Auto Responses'!$J$27,$H116='Auto Responses'!$J$8),0,IF(OR(AND($F116=$G116,$H116=""),$H116='Auto Responses'!$J$7),1,0)))))</f>
      </c>
      <c r="M116" s="4">
        <f>VLOOKUP($A116,'Institution Evaluation'!$A$56:$K$345,11,0)&amp;""</f>
      </c>
      <c r="N116" s="4">
        <f>IF($J116='Auto Responses'!$J$11,1,IF(AND($J116="",$I116='Auto Responses'!$J$11),1,0))</f>
      </c>
      <c r="O116" s="106">
        <f>IF(OR($F$17='Auto Responses'!$J$4,$E116='Auto Responses'!$L$13,$F116='Auto Responses'!$J$5),'Auto Responses'!$J$5,IF($J116="",$K116,IF($J116='Auto Responses'!$J$13,5,IF($J116='Auto Responses'!$J$12,10,IF($J116='Auto Responses'!$J$11,20,0)))))</f>
      </c>
      <c r="P116" s="106">
        <f>IF(OR($O116='Auto Responses'!$J$5,$L116='Auto Responses'!$J$5),'Auto Responses'!$J$5,$O116*$L116)</f>
      </c>
      <c r="Q116" s="106">
        <f t="shared" si="7"/>
      </c>
      <c r="R116" s="106">
        <f t="shared" si="12"/>
      </c>
      <c r="S116" s="106">
        <f t="shared" si="8"/>
      </c>
      <c r="T116" s="106">
        <f t="shared" si="9"/>
      </c>
      <c r="U116" s="106">
        <f t="shared" si="13"/>
      </c>
      <c r="V116" s="106">
        <f t="shared" si="10"/>
      </c>
    </row>
    <row r="117" spans="1:22" ht="60" x14ac:dyDescent="0.2">
      <c r="A117" s="4">
        <f>Questions!$A117</f>
      </c>
      <c r="B117" s="4">
        <f t="shared" si="11"/>
      </c>
      <c r="C117" s="4">
        <f>VLOOKUP($A117,Questions!$A$3:$L$333,2,0)&amp;""</f>
      </c>
      <c r="D117" s="4">
        <f>VLOOKUP($A117,Questions!$A$3:$L$333,11,0)&amp;""</f>
      </c>
      <c r="E117" s="4">
        <f>VLOOKUP($A117,Questions!$A$3:$L$333,12,0)&amp;""</f>
      </c>
      <c r="F117" s="4">
        <f>VLOOKUP($A117,'Institution Evaluation'!$A$56:$K$345,3,0)&amp;""</f>
      </c>
      <c r="G117" s="4">
        <f>VLOOKUP($A117,'Institution Evaluation'!$A$56:$K$345,7,0)&amp;""</f>
      </c>
      <c r="H117" s="4">
        <f>VLOOKUP($A117,'Institution Evaluation'!$A$56:$K$345,8,0)&amp;""</f>
      </c>
      <c r="I117" s="4">
        <f>VLOOKUP($A117,'Institution Evaluation'!$A$56:$K$345,9,0)&amp;""</f>
      </c>
      <c r="J117" s="4">
        <f>VLOOKUP($A117,'Institution Evaluation'!$A$56:$K$345,10,0)&amp;""</f>
      </c>
      <c r="K117" s="4">
        <f>IF($I117='Auto Responses'!$J$11,20,IF($I117='Auto Responses'!$J$13,5,10))</f>
      </c>
      <c r="L117" s="106">
        <f>IF($E117='Auto Responses'!$L$13, 'Auto Responses'!$J$5,IF(AND($D117='Auto Responses'!$J$27,$H117=""),'Auto Responses'!$J$5,IF(AND($D117='Auto Responses'!$J$27,$H117='Auto Responses'!$J$7),1,IF(AND($D117='Auto Responses'!$J$27,$H117='Auto Responses'!$J$8),0,IF(OR(AND($F117=$G117,$H117=""),$H117='Auto Responses'!$J$7),1,0)))))</f>
      </c>
      <c r="M117" s="4">
        <f>VLOOKUP($A117,'Institution Evaluation'!$A$56:$K$345,11,0)&amp;""</f>
      </c>
      <c r="N117" s="4">
        <f>IF($J117='Auto Responses'!$J$11,1,IF(AND($J117="",$I117='Auto Responses'!$J$11),1,0))</f>
      </c>
      <c r="O117" s="106">
        <f>IF(OR($F$17='Auto Responses'!$J$4,$E117='Auto Responses'!$L$13,$F117='Auto Responses'!$J$5),'Auto Responses'!$J$5,IF($J117="",$K117,IF($J117='Auto Responses'!$J$13,5,IF($J117='Auto Responses'!$J$12,10,IF($J117='Auto Responses'!$J$11,20,0)))))</f>
      </c>
      <c r="P117" s="106">
        <f>IF(OR($O117='Auto Responses'!$J$5,$L117='Auto Responses'!$J$5),'Auto Responses'!$J$5,$O117*$L117)</f>
      </c>
      <c r="Q117" s="106">
        <f t="shared" si="7"/>
      </c>
      <c r="R117" s="106">
        <f t="shared" si="12"/>
      </c>
      <c r="S117" s="106">
        <f t="shared" si="8"/>
      </c>
      <c r="T117" s="106">
        <f t="shared" si="9"/>
      </c>
      <c r="U117" s="106">
        <f t="shared" si="13"/>
      </c>
      <c r="V117" s="106">
        <f t="shared" si="10"/>
      </c>
    </row>
    <row r="118" spans="1:22" ht="60" x14ac:dyDescent="0.2">
      <c r="A118" s="4">
        <f>Questions!$A118</f>
      </c>
      <c r="B118" s="4">
        <f t="shared" si="11"/>
      </c>
      <c r="C118" s="4">
        <f>VLOOKUP($A118,Questions!$A$3:$L$333,2,0)&amp;""</f>
      </c>
      <c r="D118" s="4">
        <f>VLOOKUP($A118,Questions!$A$3:$L$333,11,0)&amp;""</f>
      </c>
      <c r="E118" s="4">
        <f>VLOOKUP($A118,Questions!$A$3:$L$333,12,0)&amp;""</f>
      </c>
      <c r="F118" s="4">
        <f>VLOOKUP($A118,'Institution Evaluation'!$A$56:$K$345,3,0)&amp;""</f>
      </c>
      <c r="G118" s="4">
        <f>VLOOKUP($A118,'Institution Evaluation'!$A$56:$K$345,7,0)&amp;""</f>
      </c>
      <c r="H118" s="4">
        <f>VLOOKUP($A118,'Institution Evaluation'!$A$56:$K$345,8,0)&amp;""</f>
      </c>
      <c r="I118" s="4">
        <f>VLOOKUP($A118,'Institution Evaluation'!$A$56:$K$345,9,0)&amp;""</f>
      </c>
      <c r="J118" s="4">
        <f>VLOOKUP($A118,'Institution Evaluation'!$A$56:$K$345,10,0)&amp;""</f>
      </c>
      <c r="K118" s="4">
        <f>IF($I118='Auto Responses'!$J$11,20,IF($I118='Auto Responses'!$J$13,5,10))</f>
      </c>
      <c r="L118" s="106">
        <f>IF($E118='Auto Responses'!$L$13, 'Auto Responses'!$J$5,IF(AND($D118='Auto Responses'!$J$27,$H118=""),'Auto Responses'!$J$5,IF(AND($D118='Auto Responses'!$J$27,$H118='Auto Responses'!$J$7),1,IF(AND($D118='Auto Responses'!$J$27,$H118='Auto Responses'!$J$8),0,IF(OR(AND($F118=$G118,$H118=""),$H118='Auto Responses'!$J$7),1,0)))))</f>
      </c>
      <c r="M118" s="4">
        <f>VLOOKUP($A118,'Institution Evaluation'!$A$56:$K$345,11,0)&amp;""</f>
      </c>
      <c r="N118" s="4">
        <f>IF($J118='Auto Responses'!$J$11,1,IF(AND($J118="",$I118='Auto Responses'!$J$11),1,0))</f>
      </c>
      <c r="O118" s="106">
        <f>IF(OR($F$17='Auto Responses'!$J$4,$E118='Auto Responses'!$L$13,$F118='Auto Responses'!$J$5),'Auto Responses'!$J$5,IF($J118="",$K118,IF($J118='Auto Responses'!$J$13,5,IF($J118='Auto Responses'!$J$12,10,IF($J118='Auto Responses'!$J$11,20,0)))))</f>
      </c>
      <c r="P118" s="106">
        <f>IF(OR($O118='Auto Responses'!$J$5,$L118='Auto Responses'!$J$5),'Auto Responses'!$J$5,$O118*$L118)</f>
      </c>
      <c r="Q118" s="106">
        <f t="shared" si="7"/>
      </c>
      <c r="R118" s="106">
        <f t="shared" si="12"/>
      </c>
      <c r="S118" s="106">
        <f t="shared" si="8"/>
      </c>
      <c r="T118" s="106">
        <f t="shared" si="9"/>
      </c>
      <c r="U118" s="106">
        <f t="shared" si="13"/>
      </c>
      <c r="V118" s="106">
        <f t="shared" si="10"/>
      </c>
    </row>
    <row r="119" spans="1:22" ht="60" x14ac:dyDescent="0.2">
      <c r="A119" s="4">
        <f>Questions!$A119</f>
      </c>
      <c r="B119" s="4">
        <f t="shared" si="11"/>
      </c>
      <c r="C119" s="4">
        <f>VLOOKUP($A119,Questions!$A$3:$L$333,2,0)&amp;""</f>
      </c>
      <c r="D119" s="4">
        <f>VLOOKUP($A119,Questions!$A$3:$L$333,11,0)&amp;""</f>
      </c>
      <c r="E119" s="4">
        <f>VLOOKUP($A119,Questions!$A$3:$L$333,12,0)&amp;""</f>
      </c>
      <c r="F119" s="4">
        <f>VLOOKUP($A119,'Institution Evaluation'!$A$56:$K$345,3,0)&amp;""</f>
      </c>
      <c r="G119" s="4">
        <f>VLOOKUP($A119,'Institution Evaluation'!$A$56:$K$345,7,0)&amp;""</f>
      </c>
      <c r="H119" s="4">
        <f>VLOOKUP($A119,'Institution Evaluation'!$A$56:$K$345,8,0)&amp;""</f>
      </c>
      <c r="I119" s="4">
        <f>VLOOKUP($A119,'Institution Evaluation'!$A$56:$K$345,9,0)&amp;""</f>
      </c>
      <c r="J119" s="4">
        <f>VLOOKUP($A119,'Institution Evaluation'!$A$56:$K$345,10,0)&amp;""</f>
      </c>
      <c r="K119" s="4">
        <f>IF($I119='Auto Responses'!$J$11,20,IF($I119='Auto Responses'!$J$13,5,10))</f>
      </c>
      <c r="L119" s="106">
        <f>IF($E119='Auto Responses'!$L$13, 'Auto Responses'!$J$5,IF(AND($D119='Auto Responses'!$J$27,$H119=""),'Auto Responses'!$J$5,IF(AND($D119='Auto Responses'!$J$27,$H119='Auto Responses'!$J$7),1,IF(AND($D119='Auto Responses'!$J$27,$H119='Auto Responses'!$J$8),0,IF(OR(AND($F119=$G119,$H119=""),$H119='Auto Responses'!$J$7),1,0)))))</f>
      </c>
      <c r="M119" s="4">
        <f>VLOOKUP($A119,'Institution Evaluation'!$A$56:$K$345,11,0)&amp;""</f>
      </c>
      <c r="N119" s="4">
        <f>IF($J119='Auto Responses'!$J$11,1,IF(AND($J119="",$I119='Auto Responses'!$J$11),1,0))</f>
      </c>
      <c r="O119" s="106">
        <f>IF(OR($F$17='Auto Responses'!$J$4,$E119='Auto Responses'!$L$13,$F119='Auto Responses'!$J$5),'Auto Responses'!$J$5,IF($J119="",$K119,IF($J119='Auto Responses'!$J$13,5,IF($J119='Auto Responses'!$J$12,10,IF($J119='Auto Responses'!$J$11,20,0)))))</f>
      </c>
      <c r="P119" s="106">
        <f>IF(OR($O119='Auto Responses'!$J$5,$L119='Auto Responses'!$J$5),'Auto Responses'!$J$5,$O119*$L119)</f>
      </c>
      <c r="Q119" s="106">
        <f t="shared" si="7"/>
      </c>
      <c r="R119" s="106">
        <f t="shared" si="12"/>
      </c>
      <c r="S119" s="106">
        <f t="shared" si="8"/>
      </c>
      <c r="T119" s="106">
        <f t="shared" si="9"/>
      </c>
      <c r="U119" s="106">
        <f t="shared" si="13"/>
      </c>
      <c r="V119" s="106">
        <f t="shared" si="10"/>
      </c>
    </row>
    <row r="120" spans="1:22" ht="60" x14ac:dyDescent="0.2">
      <c r="A120" s="4">
        <f>Questions!$A120</f>
      </c>
      <c r="B120" s="4">
        <f t="shared" si="11"/>
      </c>
      <c r="C120" s="4">
        <f>VLOOKUP($A120,Questions!$A$3:$L$333,2,0)&amp;""</f>
      </c>
      <c r="D120" s="4">
        <f>VLOOKUP($A120,Questions!$A$3:$L$333,11,0)&amp;""</f>
      </c>
      <c r="E120" s="4">
        <f>VLOOKUP($A120,Questions!$A$3:$L$333,12,0)&amp;""</f>
      </c>
      <c r="F120" s="4">
        <f>VLOOKUP($A120,'Institution Evaluation'!$A$56:$K$345,3,0)&amp;""</f>
      </c>
      <c r="G120" s="4">
        <f>VLOOKUP($A120,'Institution Evaluation'!$A$56:$K$345,7,0)&amp;""</f>
      </c>
      <c r="H120" s="4">
        <f>VLOOKUP($A120,'Institution Evaluation'!$A$56:$K$345,8,0)&amp;""</f>
      </c>
      <c r="I120" s="4">
        <f>VLOOKUP($A120,'Institution Evaluation'!$A$56:$K$345,9,0)&amp;""</f>
      </c>
      <c r="J120" s="4">
        <f>VLOOKUP($A120,'Institution Evaluation'!$A$56:$K$345,10,0)&amp;""</f>
      </c>
      <c r="K120" s="4">
        <f>IF($I120='Auto Responses'!$J$11,20,IF($I120='Auto Responses'!$J$13,5,10))</f>
      </c>
      <c r="L120" s="106">
        <f>IF($E120='Auto Responses'!$L$13, 'Auto Responses'!$J$5,IF(AND($D120='Auto Responses'!$J$27,$H120=""),'Auto Responses'!$J$5,IF(AND($D120='Auto Responses'!$J$27,$H120='Auto Responses'!$J$7),1,IF(AND($D120='Auto Responses'!$J$27,$H120='Auto Responses'!$J$8),0,IF(OR(AND($F120=$G120,$H120=""),$H120='Auto Responses'!$J$7),1,0)))))</f>
      </c>
      <c r="M120" s="4">
        <f>VLOOKUP($A120,'Institution Evaluation'!$A$56:$K$345,11,0)&amp;""</f>
      </c>
      <c r="N120" s="4">
        <f>IF($J120='Auto Responses'!$J$11,1,IF(AND($J120="",$I120='Auto Responses'!$J$11),1,0))</f>
      </c>
      <c r="O120" s="106">
        <f>IF(OR($F$17='Auto Responses'!$J$4,$E120='Auto Responses'!$L$13,$F120='Auto Responses'!$J$5),'Auto Responses'!$J$5,IF($J120="",$K120,IF($J120='Auto Responses'!$J$13,5,IF($J120='Auto Responses'!$J$12,10,IF($J120='Auto Responses'!$J$11,20,0)))))</f>
      </c>
      <c r="P120" s="106">
        <f>IF(OR($O120='Auto Responses'!$J$5,$L120='Auto Responses'!$J$5),'Auto Responses'!$J$5,$O120*$L120)</f>
      </c>
      <c r="Q120" s="106">
        <f t="shared" si="7"/>
      </c>
      <c r="R120" s="106">
        <f t="shared" si="12"/>
      </c>
      <c r="S120" s="106">
        <f t="shared" si="8"/>
      </c>
      <c r="T120" s="106">
        <f t="shared" si="9"/>
      </c>
      <c r="U120" s="106">
        <f t="shared" si="13"/>
      </c>
      <c r="V120" s="106">
        <f t="shared" si="10"/>
      </c>
    </row>
    <row r="121" spans="1:22" ht="60" x14ac:dyDescent="0.2">
      <c r="A121" s="4">
        <f>Questions!$A121</f>
      </c>
      <c r="B121" s="4">
        <f t="shared" si="11"/>
      </c>
      <c r="C121" s="4">
        <f>VLOOKUP($A121,Questions!$A$3:$L$333,2,0)&amp;""</f>
      </c>
      <c r="D121" s="4">
        <f>VLOOKUP($A121,Questions!$A$3:$L$333,11,0)&amp;""</f>
      </c>
      <c r="E121" s="4">
        <f>VLOOKUP($A121,Questions!$A$3:$L$333,12,0)&amp;""</f>
      </c>
      <c r="F121" s="4">
        <f>VLOOKUP($A121,'Institution Evaluation'!$A$56:$K$345,3,0)&amp;""</f>
      </c>
      <c r="G121" s="4">
        <f>VLOOKUP($A121,'Institution Evaluation'!$A$56:$K$345,7,0)&amp;""</f>
      </c>
      <c r="H121" s="4">
        <f>VLOOKUP($A121,'Institution Evaluation'!$A$56:$K$345,8,0)&amp;""</f>
      </c>
      <c r="I121" s="4">
        <f>VLOOKUP($A121,'Institution Evaluation'!$A$56:$K$345,9,0)&amp;""</f>
      </c>
      <c r="J121" s="4">
        <f>VLOOKUP($A121,'Institution Evaluation'!$A$56:$K$345,10,0)&amp;""</f>
      </c>
      <c r="K121" s="4">
        <f>IF($I121='Auto Responses'!$J$11,20,IF($I121='Auto Responses'!$J$13,5,10))</f>
      </c>
      <c r="L121" s="106">
        <f>IF($E121='Auto Responses'!$L$13, 'Auto Responses'!$J$5,IF(AND($D121='Auto Responses'!$J$27,$H121=""),'Auto Responses'!$J$5,IF(AND($D121='Auto Responses'!$J$27,$H121='Auto Responses'!$J$7),1,IF(AND($D121='Auto Responses'!$J$27,$H121='Auto Responses'!$J$8),0,IF(OR(AND($F121=$G121,$H121=""),$H121='Auto Responses'!$J$7),1,0)))))</f>
      </c>
      <c r="M121" s="4">
        <f>VLOOKUP($A121,'Institution Evaluation'!$A$56:$K$345,11,0)&amp;""</f>
      </c>
      <c r="N121" s="4">
        <f>IF($J121='Auto Responses'!$J$11,1,IF(AND($J121="",$I121='Auto Responses'!$J$11),1,0))</f>
      </c>
      <c r="O121" s="106">
        <f>IF(OR($F$17='Auto Responses'!$J$4,$E121='Auto Responses'!$L$13,$F121='Auto Responses'!$J$5),'Auto Responses'!$J$5,IF($J121="",$K121,IF($J121='Auto Responses'!$J$13,5,IF($J121='Auto Responses'!$J$12,10,IF($J121='Auto Responses'!$J$11,20,0)))))</f>
      </c>
      <c r="P121" s="106">
        <f>IF(OR($O121='Auto Responses'!$J$5,$L121='Auto Responses'!$J$5),'Auto Responses'!$J$5,$O121*$L121)</f>
      </c>
      <c r="Q121" s="106">
        <f t="shared" si="7"/>
      </c>
      <c r="R121" s="106">
        <f t="shared" si="12"/>
      </c>
      <c r="S121" s="106">
        <f t="shared" si="8"/>
      </c>
      <c r="T121" s="106">
        <f t="shared" si="9"/>
      </c>
      <c r="U121" s="106">
        <f t="shared" si="13"/>
      </c>
      <c r="V121" s="106">
        <f t="shared" si="10"/>
      </c>
    </row>
    <row r="122" spans="1:22" ht="60" x14ac:dyDescent="0.2">
      <c r="A122" s="4">
        <f>Questions!$A122</f>
      </c>
      <c r="B122" s="4">
        <f t="shared" si="11"/>
      </c>
      <c r="C122" s="4">
        <f>VLOOKUP($A122,Questions!$A$3:$L$333,2,0)&amp;""</f>
      </c>
      <c r="D122" s="4">
        <f>VLOOKUP($A122,Questions!$A$3:$L$333,11,0)&amp;""</f>
      </c>
      <c r="E122" s="4">
        <f>VLOOKUP($A122,Questions!$A$3:$L$333,12,0)&amp;""</f>
      </c>
      <c r="F122" s="4">
        <f>VLOOKUP($A122,'Institution Evaluation'!$A$56:$K$345,3,0)&amp;""</f>
      </c>
      <c r="G122" s="4">
        <f>VLOOKUP($A122,'Institution Evaluation'!$A$56:$K$345,7,0)&amp;""</f>
      </c>
      <c r="H122" s="4">
        <f>VLOOKUP($A122,'Institution Evaluation'!$A$56:$K$345,8,0)&amp;""</f>
      </c>
      <c r="I122" s="4">
        <f>VLOOKUP($A122,'Institution Evaluation'!$A$56:$K$345,9,0)&amp;""</f>
      </c>
      <c r="J122" s="4">
        <f>VLOOKUP($A122,'Institution Evaluation'!$A$56:$K$345,10,0)&amp;""</f>
      </c>
      <c r="K122" s="4">
        <f>IF($I122='Auto Responses'!$J$11,20,IF($I122='Auto Responses'!$J$13,5,10))</f>
      </c>
      <c r="L122" s="106">
        <f>IF($E122='Auto Responses'!$L$13, 'Auto Responses'!$J$5,IF(AND($D122='Auto Responses'!$J$27,$H122=""),'Auto Responses'!$J$5,IF(AND($D122='Auto Responses'!$J$27,$H122='Auto Responses'!$J$7),1,IF(AND($D122='Auto Responses'!$J$27,$H122='Auto Responses'!$J$8),0,IF(OR(AND($F122=$G122,$H122=""),$H122='Auto Responses'!$J$7),1,0)))))</f>
      </c>
      <c r="M122" s="4">
        <f>VLOOKUP($A122,'Institution Evaluation'!$A$56:$K$345,11,0)&amp;""</f>
      </c>
      <c r="N122" s="4">
        <f>IF($J122='Auto Responses'!$J$11,1,IF(AND($J122="",$I122='Auto Responses'!$J$11),1,0))</f>
      </c>
      <c r="O122" s="106">
        <f>IF(OR($F$17='Auto Responses'!$J$4,$E122='Auto Responses'!$L$13,$F122='Auto Responses'!$J$5),'Auto Responses'!$J$5,IF($J122="",$K122,IF($J122='Auto Responses'!$J$13,5,IF($J122='Auto Responses'!$J$12,10,IF($J122='Auto Responses'!$J$11,20,0)))))</f>
      </c>
      <c r="P122" s="106">
        <f>IF(OR($O122='Auto Responses'!$J$5,$L122='Auto Responses'!$J$5),'Auto Responses'!$J$5,$O122*$L122)</f>
      </c>
      <c r="Q122" s="106">
        <f t="shared" si="7"/>
      </c>
      <c r="R122" s="106">
        <f t="shared" si="12"/>
      </c>
      <c r="S122" s="106">
        <f t="shared" si="8"/>
      </c>
      <c r="T122" s="106">
        <f t="shared" si="9"/>
      </c>
      <c r="U122" s="106">
        <f t="shared" si="13"/>
      </c>
      <c r="V122" s="106">
        <f t="shared" si="10"/>
      </c>
    </row>
    <row r="123" spans="1:22" ht="60" x14ac:dyDescent="0.2">
      <c r="A123" s="4">
        <f>Questions!$A123</f>
      </c>
      <c r="B123" s="4">
        <f t="shared" si="11"/>
      </c>
      <c r="C123" s="4">
        <f>VLOOKUP($A123,Questions!$A$3:$L$333,2,0)&amp;""</f>
      </c>
      <c r="D123" s="4">
        <f>VLOOKUP($A123,Questions!$A$3:$L$333,11,0)&amp;""</f>
      </c>
      <c r="E123" s="4">
        <f>VLOOKUP($A123,Questions!$A$3:$L$333,12,0)&amp;""</f>
      </c>
      <c r="F123" s="4">
        <f>VLOOKUP($A123,'Institution Evaluation'!$A$56:$K$345,3,0)&amp;""</f>
      </c>
      <c r="G123" s="4">
        <f>VLOOKUP($A123,'Institution Evaluation'!$A$56:$K$345,7,0)&amp;""</f>
      </c>
      <c r="H123" s="4">
        <f>VLOOKUP($A123,'Institution Evaluation'!$A$56:$K$345,8,0)&amp;""</f>
      </c>
      <c r="I123" s="4">
        <f>VLOOKUP($A123,'Institution Evaluation'!$A$56:$K$345,9,0)&amp;""</f>
      </c>
      <c r="J123" s="4">
        <f>VLOOKUP($A123,'Institution Evaluation'!$A$56:$K$345,10,0)&amp;""</f>
      </c>
      <c r="K123" s="4">
        <f>IF($I123='Auto Responses'!$J$11,20,IF($I123='Auto Responses'!$J$13,5,10))</f>
      </c>
      <c r="L123" s="106">
        <f>IF($E123='Auto Responses'!$L$13, 'Auto Responses'!$J$5,IF(AND($D123='Auto Responses'!$J$27,$H123=""),'Auto Responses'!$J$5,IF(AND($D123='Auto Responses'!$J$27,$H123='Auto Responses'!$J$7),1,IF(AND($D123='Auto Responses'!$J$27,$H123='Auto Responses'!$J$8),0,IF(OR(AND($F123=$G123,$H123=""),$H123='Auto Responses'!$J$7),1,0)))))</f>
      </c>
      <c r="M123" s="4">
        <f>VLOOKUP($A123,'Institution Evaluation'!$A$56:$K$345,11,0)&amp;""</f>
      </c>
      <c r="N123" s="4">
        <f>IF($J123='Auto Responses'!$J$11,1,IF(AND($J123="",$I123='Auto Responses'!$J$11),1,0))</f>
      </c>
      <c r="O123" s="106">
        <f>IF(OR($F$17='Auto Responses'!$J$4,$E123='Auto Responses'!$L$13,$F123='Auto Responses'!$J$5),'Auto Responses'!$J$5,IF($J123="",$K123,IF($J123='Auto Responses'!$J$13,5,IF($J123='Auto Responses'!$J$12,10,IF($J123='Auto Responses'!$J$11,20,0)))))</f>
      </c>
      <c r="P123" s="106">
        <f>IF(OR($O123='Auto Responses'!$J$5,$L123='Auto Responses'!$J$5),'Auto Responses'!$J$5,$O123*$L123)</f>
      </c>
      <c r="Q123" s="106">
        <f t="shared" si="7"/>
      </c>
      <c r="R123" s="106">
        <f t="shared" si="12"/>
      </c>
      <c r="S123" s="106">
        <f t="shared" si="8"/>
      </c>
      <c r="T123" s="106">
        <f t="shared" si="9"/>
      </c>
      <c r="U123" s="106">
        <f t="shared" si="13"/>
      </c>
      <c r="V123" s="106">
        <f t="shared" si="10"/>
      </c>
    </row>
    <row r="124" spans="1:22" ht="60" x14ac:dyDescent="0.2">
      <c r="A124" s="4">
        <f>Questions!$A124</f>
      </c>
      <c r="B124" s="4">
        <f t="shared" si="11"/>
      </c>
      <c r="C124" s="4">
        <f>VLOOKUP($A124,Questions!$A$3:$L$333,2,0)&amp;""</f>
      </c>
      <c r="D124" s="4">
        <f>VLOOKUP($A124,Questions!$A$3:$L$333,11,0)&amp;""</f>
      </c>
      <c r="E124" s="4">
        <f>VLOOKUP($A124,Questions!$A$3:$L$333,12,0)&amp;""</f>
      </c>
      <c r="F124" s="4">
        <f>VLOOKUP($A124,'Institution Evaluation'!$A$56:$K$345,3,0)&amp;""</f>
      </c>
      <c r="G124" s="4">
        <f>VLOOKUP($A124,'Institution Evaluation'!$A$56:$K$345,7,0)&amp;""</f>
      </c>
      <c r="H124" s="4">
        <f>VLOOKUP($A124,'Institution Evaluation'!$A$56:$K$345,8,0)&amp;""</f>
      </c>
      <c r="I124" s="4">
        <f>VLOOKUP($A124,'Institution Evaluation'!$A$56:$K$345,9,0)&amp;""</f>
      </c>
      <c r="J124" s="4">
        <f>VLOOKUP($A124,'Institution Evaluation'!$A$56:$K$345,10,0)&amp;""</f>
      </c>
      <c r="K124" s="4">
        <f>IF($I124='Auto Responses'!$J$11,20,IF($I124='Auto Responses'!$J$13,5,10))</f>
      </c>
      <c r="L124" s="106">
        <f>IF($E124='Auto Responses'!$L$13, 'Auto Responses'!$J$5,IF(AND($D124='Auto Responses'!$J$27,$H124=""),'Auto Responses'!$J$5,IF(AND($D124='Auto Responses'!$J$27,$H124='Auto Responses'!$J$7),1,IF(AND($D124='Auto Responses'!$J$27,$H124='Auto Responses'!$J$8),0,IF(OR(AND($F124=$G124,$H124=""),$H124='Auto Responses'!$J$7),1,0)))))</f>
      </c>
      <c r="M124" s="4">
        <f>VLOOKUP($A124,'Institution Evaluation'!$A$56:$K$345,11,0)&amp;""</f>
      </c>
      <c r="N124" s="4">
        <f>IF($J124='Auto Responses'!$J$11,1,IF(AND($J124="",$I124='Auto Responses'!$J$11),1,0))</f>
      </c>
      <c r="O124" s="106">
        <f>IF(OR($F$17='Auto Responses'!$J$4,$E124='Auto Responses'!$L$13,$F124='Auto Responses'!$J$5),'Auto Responses'!$J$5,IF($J124="",$K124,IF($J124='Auto Responses'!$J$13,5,IF($J124='Auto Responses'!$J$12,10,IF($J124='Auto Responses'!$J$11,20,0)))))</f>
      </c>
      <c r="P124" s="106">
        <f>IF(OR($O124='Auto Responses'!$J$5,$L124='Auto Responses'!$J$5),'Auto Responses'!$J$5,$O124*$L124)</f>
      </c>
      <c r="Q124" s="106">
        <f t="shared" si="7"/>
      </c>
      <c r="R124" s="106">
        <f t="shared" si="12"/>
      </c>
      <c r="S124" s="106">
        <f t="shared" si="8"/>
      </c>
      <c r="T124" s="106">
        <f t="shared" si="9"/>
      </c>
      <c r="U124" s="106">
        <f t="shared" si="13"/>
      </c>
      <c r="V124" s="106">
        <f t="shared" si="10"/>
      </c>
    </row>
    <row r="125" spans="1:22" ht="75" x14ac:dyDescent="0.2">
      <c r="A125" s="4">
        <f>Questions!$A126</f>
      </c>
      <c r="B125" s="4">
        <f t="shared" si="11"/>
      </c>
      <c r="C125" s="4">
        <f>VLOOKUP($A125,Questions!$A$3:$L$333,2,0)&amp;""</f>
      </c>
      <c r="D125" s="4">
        <f>VLOOKUP($A125,Questions!$A$3:$L$333,11,0)&amp;""</f>
      </c>
      <c r="E125" s="4">
        <f>VLOOKUP($A125,Questions!$A$3:$L$333,12,0)&amp;""</f>
      </c>
      <c r="F125" s="4">
        <f>VLOOKUP($A125,'Institution Evaluation'!$A$56:$K$345,3,0)&amp;""</f>
      </c>
      <c r="G125" s="4">
        <f>VLOOKUP($A125,'Institution Evaluation'!$A$56:$K$345,7,0)&amp;""</f>
      </c>
      <c r="H125" s="4">
        <f>VLOOKUP($A125,'Institution Evaluation'!$A$56:$K$345,8,0)&amp;""</f>
      </c>
      <c r="I125" s="4">
        <f>VLOOKUP($A125,'Institution Evaluation'!$A$56:$K$345,9,0)&amp;""</f>
      </c>
      <c r="J125" s="4">
        <f>VLOOKUP($A125,'Institution Evaluation'!$A$56:$K$345,10,0)&amp;""</f>
      </c>
      <c r="K125" s="4">
        <f>IF($I125='Auto Responses'!$J$11,20,IF($I125='Auto Responses'!$J$13,5,10))</f>
      </c>
      <c r="L125" s="106">
        <f>IF($E125='Auto Responses'!$L$13, 'Auto Responses'!$J$5,IF(AND($D125='Auto Responses'!$J$27,$H125=""),'Auto Responses'!$J$5,IF(AND($D125='Auto Responses'!$J$27,$H125='Auto Responses'!$J$7),1,IF(AND($D125='Auto Responses'!$J$27,$H125='Auto Responses'!$J$8),0,IF(OR(AND($F125=$G125,$H125=""),$H125='Auto Responses'!$J$7),1,0)))))</f>
      </c>
      <c r="M125" s="4">
        <f>VLOOKUP($A125,'Institution Evaluation'!$A$56:$K$345,11,0)&amp;""</f>
      </c>
      <c r="N125" s="4">
        <f>IF($J125='Auto Responses'!$J$11,1,IF(AND($J125="",$I125='Auto Responses'!$J$11),1,0))</f>
      </c>
      <c r="O125" s="106">
        <f>IF(OR($F$17='Auto Responses'!$J$4,$E125='Auto Responses'!$L$13,$F125='Auto Responses'!$J$5),'Auto Responses'!$J$5,IF($J125="",$K125,IF($J125='Auto Responses'!$J$13,5,IF($J125='Auto Responses'!$J$12,10,IF($J125='Auto Responses'!$J$11,20,0)))))</f>
      </c>
      <c r="P125" s="106">
        <f>IF(OR($O125='Auto Responses'!$J$5,$L125='Auto Responses'!$J$5),'Auto Responses'!$J$5,$O125*$L125)</f>
      </c>
      <c r="Q125" s="106">
        <f t="shared" si="7"/>
      </c>
      <c r="R125" s="106">
        <f t="shared" si="12"/>
      </c>
      <c r="S125" s="106">
        <f t="shared" si="8"/>
      </c>
      <c r="T125" s="106">
        <f t="shared" si="9"/>
      </c>
      <c r="U125" s="106">
        <f t="shared" si="13"/>
      </c>
      <c r="V125" s="106">
        <f t="shared" si="10"/>
      </c>
    </row>
    <row r="126" spans="1:22" ht="60" x14ac:dyDescent="0.2">
      <c r="A126" s="4">
        <f>Questions!$A127</f>
      </c>
      <c r="B126" s="4">
        <f t="shared" si="11"/>
      </c>
      <c r="C126" s="4">
        <f>VLOOKUP($A126,Questions!$A$3:$L$333,2,0)&amp;""</f>
      </c>
      <c r="D126" s="4">
        <f>VLOOKUP($A126,Questions!$A$3:$L$333,11,0)&amp;""</f>
      </c>
      <c r="E126" s="4">
        <f>VLOOKUP($A126,Questions!$A$3:$L$333,12,0)&amp;""</f>
      </c>
      <c r="F126" s="4">
        <f>VLOOKUP($A126,'Institution Evaluation'!$A$56:$K$345,3,0)&amp;""</f>
      </c>
      <c r="G126" s="4">
        <f>VLOOKUP($A126,'Institution Evaluation'!$A$56:$K$345,7,0)&amp;""</f>
      </c>
      <c r="H126" s="4">
        <f>VLOOKUP($A126,'Institution Evaluation'!$A$56:$K$345,8,0)&amp;""</f>
      </c>
      <c r="I126" s="4">
        <f>VLOOKUP($A126,'Institution Evaluation'!$A$56:$K$345,9,0)&amp;""</f>
      </c>
      <c r="J126" s="4">
        <f>VLOOKUP($A126,'Institution Evaluation'!$A$56:$K$345,10,0)&amp;""</f>
      </c>
      <c r="K126" s="4">
        <f>IF($I126='Auto Responses'!$J$11,20,IF($I126='Auto Responses'!$J$13,5,10))</f>
      </c>
      <c r="L126" s="106">
        <f>IF($E126='Auto Responses'!$L$13, 'Auto Responses'!$J$5,IF(AND($D126='Auto Responses'!$J$27,$H126=""),'Auto Responses'!$J$5,IF(AND($D126='Auto Responses'!$J$27,$H126='Auto Responses'!$J$7),1,IF(AND($D126='Auto Responses'!$J$27,$H126='Auto Responses'!$J$8),0,IF(OR(AND($F126=$G126,$H126=""),$H126='Auto Responses'!$J$7),1,0)))))</f>
      </c>
      <c r="M126" s="4">
        <f>VLOOKUP($A126,'Institution Evaluation'!$A$56:$K$345,11,0)&amp;""</f>
      </c>
      <c r="N126" s="4">
        <f>IF($J126='Auto Responses'!$J$11,1,IF(AND($J126="",$I126='Auto Responses'!$J$11),1,0))</f>
      </c>
      <c r="O126" s="106">
        <f>IF(OR($F$17='Auto Responses'!$J$4,$E126='Auto Responses'!$L$13,$F126='Auto Responses'!$J$5),'Auto Responses'!$J$5,IF($J126="",$K126,IF($J126='Auto Responses'!$J$13,5,IF($J126='Auto Responses'!$J$12,10,IF($J126='Auto Responses'!$J$11,20,0)))))</f>
      </c>
      <c r="P126" s="106">
        <f>IF(OR($O126='Auto Responses'!$J$5,$L126='Auto Responses'!$J$5),'Auto Responses'!$J$5,$O126*$L126)</f>
      </c>
      <c r="Q126" s="106">
        <f t="shared" si="7"/>
      </c>
      <c r="R126" s="106">
        <f t="shared" si="12"/>
      </c>
      <c r="S126" s="106">
        <f t="shared" si="8"/>
      </c>
      <c r="T126" s="106">
        <f t="shared" si="9"/>
      </c>
      <c r="U126" s="106">
        <f t="shared" si="13"/>
      </c>
      <c r="V126" s="106">
        <f t="shared" si="10"/>
      </c>
    </row>
    <row r="127" spans="1:22" ht="60" x14ac:dyDescent="0.2">
      <c r="A127" s="4">
        <f>Questions!$A128</f>
      </c>
      <c r="B127" s="4">
        <f t="shared" si="11"/>
      </c>
      <c r="C127" s="4">
        <f>VLOOKUP($A127,Questions!$A$3:$L$333,2,0)&amp;""</f>
      </c>
      <c r="D127" s="4">
        <f>VLOOKUP($A127,Questions!$A$3:$L$333,11,0)&amp;""</f>
      </c>
      <c r="E127" s="4">
        <f>VLOOKUP($A127,Questions!$A$3:$L$333,12,0)&amp;""</f>
      </c>
      <c r="F127" s="4">
        <f>VLOOKUP($A127,'Institution Evaluation'!$A$56:$K$345,3,0)&amp;""</f>
      </c>
      <c r="G127" s="4">
        <f>VLOOKUP($A127,'Institution Evaluation'!$A$56:$K$345,7,0)&amp;""</f>
      </c>
      <c r="H127" s="4">
        <f>VLOOKUP($A127,'Institution Evaluation'!$A$56:$K$345,8,0)&amp;""</f>
      </c>
      <c r="I127" s="4">
        <f>VLOOKUP($A127,'Institution Evaluation'!$A$56:$K$345,9,0)&amp;""</f>
      </c>
      <c r="J127" s="4">
        <f>VLOOKUP($A127,'Institution Evaluation'!$A$56:$K$345,10,0)&amp;""</f>
      </c>
      <c r="K127" s="4">
        <f>IF($I127='Auto Responses'!$J$11,20,IF($I127='Auto Responses'!$J$13,5,10))</f>
      </c>
      <c r="L127" s="106">
        <f>IF($E127='Auto Responses'!$L$13, 'Auto Responses'!$J$5,IF(AND($D127='Auto Responses'!$J$27,$H127=""),'Auto Responses'!$J$5,IF(AND($D127='Auto Responses'!$J$27,$H127='Auto Responses'!$J$7),1,IF(AND($D127='Auto Responses'!$J$27,$H127='Auto Responses'!$J$8),0,IF(OR(AND($F127=$G127,$H127=""),$H127='Auto Responses'!$J$7),1,0)))))</f>
      </c>
      <c r="M127" s="4">
        <f>VLOOKUP($A127,'Institution Evaluation'!$A$56:$K$345,11,0)&amp;""</f>
      </c>
      <c r="N127" s="4">
        <f>IF($J127='Auto Responses'!$J$11,1,IF(AND($J127="",$I127='Auto Responses'!$J$11),1,0))</f>
      </c>
      <c r="O127" s="106">
        <f>IF(OR($F$17='Auto Responses'!$J$4,$E127='Auto Responses'!$L$13,$F127='Auto Responses'!$J$5),'Auto Responses'!$J$5,IF($J127="",$K127,IF($J127='Auto Responses'!$J$13,5,IF($J127='Auto Responses'!$J$12,10,IF($J127='Auto Responses'!$J$11,20,0)))))</f>
      </c>
      <c r="P127" s="106">
        <f>IF(OR($O127='Auto Responses'!$J$5,$L127='Auto Responses'!$J$5),'Auto Responses'!$J$5,$O127*$L127)</f>
      </c>
      <c r="Q127" s="106">
        <f t="shared" si="7"/>
      </c>
      <c r="R127" s="106">
        <f t="shared" si="12"/>
      </c>
      <c r="S127" s="106">
        <f t="shared" si="8"/>
      </c>
      <c r="T127" s="106">
        <f t="shared" si="9"/>
      </c>
      <c r="U127" s="106">
        <f t="shared" si="13"/>
      </c>
      <c r="V127" s="106">
        <f t="shared" si="10"/>
      </c>
    </row>
    <row r="128" spans="1:22" ht="60" x14ac:dyDescent="0.2">
      <c r="A128" s="4">
        <f>Questions!$A129</f>
      </c>
      <c r="B128" s="4">
        <f t="shared" si="11"/>
      </c>
      <c r="C128" s="4">
        <f>VLOOKUP($A128,Questions!$A$3:$L$333,2,0)&amp;""</f>
      </c>
      <c r="D128" s="4">
        <f>VLOOKUP($A128,Questions!$A$3:$L$333,11,0)&amp;""</f>
      </c>
      <c r="E128" s="4">
        <f>VLOOKUP($A128,Questions!$A$3:$L$333,12,0)&amp;""</f>
      </c>
      <c r="F128" s="4">
        <f>VLOOKUP($A128,'Institution Evaluation'!$A$56:$K$345,3,0)&amp;""</f>
      </c>
      <c r="G128" s="4">
        <f>VLOOKUP($A128,'Institution Evaluation'!$A$56:$K$345,7,0)&amp;""</f>
      </c>
      <c r="H128" s="4">
        <f>VLOOKUP($A128,'Institution Evaluation'!$A$56:$K$345,8,0)&amp;""</f>
      </c>
      <c r="I128" s="4">
        <f>VLOOKUP($A128,'Institution Evaluation'!$A$56:$K$345,9,0)&amp;""</f>
      </c>
      <c r="J128" s="4">
        <f>VLOOKUP($A128,'Institution Evaluation'!$A$56:$K$345,10,0)&amp;""</f>
      </c>
      <c r="K128" s="4">
        <f>IF($I128='Auto Responses'!$J$11,20,IF($I128='Auto Responses'!$J$13,5,10))</f>
      </c>
      <c r="L128" s="106">
        <f>IF($E128='Auto Responses'!$L$13, 'Auto Responses'!$J$5,IF(AND($D128='Auto Responses'!$J$27,$H128=""),'Auto Responses'!$J$5,IF(AND($D128='Auto Responses'!$J$27,$H128='Auto Responses'!$J$7),1,IF(AND($D128='Auto Responses'!$J$27,$H128='Auto Responses'!$J$8),0,IF(OR(AND($F128=$G128,$H128=""),$H128='Auto Responses'!$J$7),1,0)))))</f>
      </c>
      <c r="M128" s="4">
        <f>VLOOKUP($A128,'Institution Evaluation'!$A$56:$K$345,11,0)&amp;""</f>
      </c>
      <c r="N128" s="4">
        <f>IF($J128='Auto Responses'!$J$11,1,IF(AND($J128="",$I128='Auto Responses'!$J$11),1,0))</f>
      </c>
      <c r="O128" s="106">
        <f>IF(OR($F$17='Auto Responses'!$J$4,$E128='Auto Responses'!$L$13,$F128='Auto Responses'!$J$5),'Auto Responses'!$J$5,IF($J128="",$K128,IF($J128='Auto Responses'!$J$13,5,IF($J128='Auto Responses'!$J$12,10,IF($J128='Auto Responses'!$J$11,20,0)))))</f>
      </c>
      <c r="P128" s="106">
        <f>IF(OR($O128='Auto Responses'!$J$5,$L128='Auto Responses'!$J$5),'Auto Responses'!$J$5,$O128*$L128)</f>
      </c>
      <c r="Q128" s="106">
        <f t="shared" si="7"/>
      </c>
      <c r="R128" s="106">
        <f t="shared" si="12"/>
      </c>
      <c r="S128" s="106">
        <f t="shared" si="8"/>
      </c>
      <c r="T128" s="106">
        <f t="shared" si="9"/>
      </c>
      <c r="U128" s="106">
        <f t="shared" si="13"/>
      </c>
      <c r="V128" s="106">
        <f t="shared" si="10"/>
      </c>
    </row>
    <row r="129" spans="1:22" ht="75" x14ac:dyDescent="0.2">
      <c r="A129" s="4">
        <f>Questions!$A130</f>
      </c>
      <c r="B129" s="4">
        <f t="shared" si="11"/>
      </c>
      <c r="C129" s="4">
        <f>VLOOKUP($A129,Questions!$A$3:$L$333,2,0)&amp;""</f>
      </c>
      <c r="D129" s="4">
        <f>VLOOKUP($A129,Questions!$A$3:$L$333,11,0)&amp;""</f>
      </c>
      <c r="E129" s="4">
        <f>VLOOKUP($A129,Questions!$A$3:$L$333,12,0)&amp;""</f>
      </c>
      <c r="F129" s="4">
        <f>VLOOKUP($A129,'Institution Evaluation'!$A$56:$K$345,3,0)&amp;""</f>
      </c>
      <c r="G129" s="4">
        <f>VLOOKUP($A129,'Institution Evaluation'!$A$56:$K$345,7,0)&amp;""</f>
      </c>
      <c r="H129" s="4">
        <f>VLOOKUP($A129,'Institution Evaluation'!$A$56:$K$345,8,0)&amp;""</f>
      </c>
      <c r="I129" s="4">
        <f>VLOOKUP($A129,'Institution Evaluation'!$A$56:$K$345,9,0)&amp;""</f>
      </c>
      <c r="J129" s="4">
        <f>VLOOKUP($A129,'Institution Evaluation'!$A$56:$K$345,10,0)&amp;""</f>
      </c>
      <c r="K129" s="4">
        <f>IF($I129='Auto Responses'!$J$11,20,IF($I129='Auto Responses'!$J$13,5,10))</f>
      </c>
      <c r="L129" s="106">
        <f>IF($E129='Auto Responses'!$L$13, 'Auto Responses'!$J$5,IF(AND($D129='Auto Responses'!$J$27,$H129=""),'Auto Responses'!$J$5,IF(AND($D129='Auto Responses'!$J$27,$H129='Auto Responses'!$J$7),1,IF(AND($D129='Auto Responses'!$J$27,$H129='Auto Responses'!$J$8),0,IF(OR(AND($F129=$G129,$H129=""),$H129='Auto Responses'!$J$7),1,0)))))</f>
      </c>
      <c r="M129" s="4">
        <f>VLOOKUP($A129,'Institution Evaluation'!$A$56:$K$345,11,0)&amp;""</f>
      </c>
      <c r="N129" s="4">
        <f>IF($J129='Auto Responses'!$J$11,1,IF(AND($J129="",$I129='Auto Responses'!$J$11),1,0))</f>
      </c>
      <c r="O129" s="106">
        <f>IF(OR($F$17='Auto Responses'!$J$4,$E129='Auto Responses'!$L$13,$F129='Auto Responses'!$J$5),'Auto Responses'!$J$5,IF($J129="",$K129,IF($J129='Auto Responses'!$J$13,5,IF($J129='Auto Responses'!$J$12,10,IF($J129='Auto Responses'!$J$11,20,0)))))</f>
      </c>
      <c r="P129" s="106">
        <f>IF(OR($O129='Auto Responses'!$J$5,$L129='Auto Responses'!$J$5),'Auto Responses'!$J$5,$O129*$L129)</f>
      </c>
      <c r="Q129" s="106">
        <f t="shared" si="7"/>
      </c>
      <c r="R129" s="106">
        <f t="shared" si="12"/>
      </c>
      <c r="S129" s="106">
        <f t="shared" si="8"/>
      </c>
      <c r="T129" s="106">
        <f t="shared" si="9"/>
      </c>
      <c r="U129" s="106">
        <f t="shared" si="13"/>
      </c>
      <c r="V129" s="106">
        <f t="shared" si="10"/>
      </c>
    </row>
    <row r="130" spans="1:22" ht="60" x14ac:dyDescent="0.2">
      <c r="A130" s="4">
        <f>Questions!$A131</f>
      </c>
      <c r="B130" s="4">
        <f t="shared" si="11"/>
      </c>
      <c r="C130" s="4">
        <f>VLOOKUP($A130,Questions!$A$3:$L$333,2,0)&amp;""</f>
      </c>
      <c r="D130" s="4">
        <f>VLOOKUP($A130,Questions!$A$3:$L$333,11,0)&amp;""</f>
      </c>
      <c r="E130" s="4">
        <f>VLOOKUP($A130,Questions!$A$3:$L$333,12,0)&amp;""</f>
      </c>
      <c r="F130" s="4">
        <f>VLOOKUP($A130,'Institution Evaluation'!$A$56:$K$345,3,0)&amp;""</f>
      </c>
      <c r="G130" s="4">
        <f>VLOOKUP($A130,'Institution Evaluation'!$A$56:$K$345,7,0)&amp;""</f>
      </c>
      <c r="H130" s="4">
        <f>VLOOKUP($A130,'Institution Evaluation'!$A$56:$K$345,8,0)&amp;""</f>
      </c>
      <c r="I130" s="4">
        <f>VLOOKUP($A130,'Institution Evaluation'!$A$56:$K$345,9,0)&amp;""</f>
      </c>
      <c r="J130" s="4">
        <f>VLOOKUP($A130,'Institution Evaluation'!$A$56:$K$345,10,0)&amp;""</f>
      </c>
      <c r="K130" s="4">
        <f>IF($I130='Auto Responses'!$J$11,20,IF($I130='Auto Responses'!$J$13,5,10))</f>
      </c>
      <c r="L130" s="106">
        <f>IF($E130='Auto Responses'!$L$13, 'Auto Responses'!$J$5,IF(AND($D130='Auto Responses'!$J$27,$H130=""),'Auto Responses'!$J$5,IF(AND($D130='Auto Responses'!$J$27,$H130='Auto Responses'!$J$7),1,IF(AND($D130='Auto Responses'!$J$27,$H130='Auto Responses'!$J$8),0,IF(OR(AND($F130=$G130,$H130=""),$H130='Auto Responses'!$J$7),1,0)))))</f>
      </c>
      <c r="M130" s="4">
        <f>VLOOKUP($A130,'Institution Evaluation'!$A$56:$K$345,11,0)&amp;""</f>
      </c>
      <c r="N130" s="4">
        <f>IF($J130='Auto Responses'!$J$11,1,IF(AND($J130="",$I130='Auto Responses'!$J$11),1,0))</f>
      </c>
      <c r="O130" s="106">
        <f>IF(OR($F$17='Auto Responses'!$J$4,$E130='Auto Responses'!$L$13,$F130='Auto Responses'!$J$5),'Auto Responses'!$J$5,IF($J130="",$K130,IF($J130='Auto Responses'!$J$13,5,IF($J130='Auto Responses'!$J$12,10,IF($J130='Auto Responses'!$J$11,20,0)))))</f>
      </c>
      <c r="P130" s="106">
        <f>IF(OR($O130='Auto Responses'!$J$5,$L130='Auto Responses'!$J$5),'Auto Responses'!$J$5,$O130*$L130)</f>
      </c>
      <c r="Q130" s="106">
        <f t="shared" ref="Q130:Q189" si="14">IF(M130="TRUE",1,0)</f>
      </c>
      <c r="R130" s="106">
        <f t="shared" si="12"/>
      </c>
      <c r="S130" s="106">
        <f t="shared" ref="S130:S189" si="15">IF(Q130=0,0,R130)</f>
      </c>
      <c r="T130" s="106">
        <f t="shared" ref="T130:T189" si="16">IF(N130=1,1,0)</f>
      </c>
      <c r="U130" s="106">
        <f t="shared" si="13"/>
      </c>
      <c r="V130" s="106">
        <f t="shared" ref="V130:V189" si="17">IF(T130=0,0,U130)</f>
      </c>
    </row>
    <row r="131" spans="1:22" ht="60" x14ac:dyDescent="0.2">
      <c r="A131" s="4">
        <f>Questions!$A132</f>
      </c>
      <c r="B131" s="4">
        <f t="shared" ref="B131:B190" si="18">LEFT(A131,4)</f>
      </c>
      <c r="C131" s="4">
        <f>VLOOKUP($A131,Questions!$A$3:$L$333,2,0)&amp;""</f>
      </c>
      <c r="D131" s="4">
        <f>VLOOKUP($A131,Questions!$A$3:$L$333,11,0)&amp;""</f>
      </c>
      <c r="E131" s="4">
        <f>VLOOKUP($A131,Questions!$A$3:$L$333,12,0)&amp;""</f>
      </c>
      <c r="F131" s="4">
        <f>VLOOKUP($A131,'Institution Evaluation'!$A$56:$K$345,3,0)&amp;""</f>
      </c>
      <c r="G131" s="4">
        <f>VLOOKUP($A131,'Institution Evaluation'!$A$56:$K$345,7,0)&amp;""</f>
      </c>
      <c r="H131" s="4">
        <f>VLOOKUP($A131,'Institution Evaluation'!$A$56:$K$345,8,0)&amp;""</f>
      </c>
      <c r="I131" s="4">
        <f>VLOOKUP($A131,'Institution Evaluation'!$A$56:$K$345,9,0)&amp;""</f>
      </c>
      <c r="J131" s="4">
        <f>VLOOKUP($A131,'Institution Evaluation'!$A$56:$K$345,10,0)&amp;""</f>
      </c>
      <c r="K131" s="4">
        <f>IF($I131='Auto Responses'!$J$11,20,IF($I131='Auto Responses'!$J$13,5,10))</f>
      </c>
      <c r="L131" s="106">
        <f>IF($E131='Auto Responses'!$L$13, 'Auto Responses'!$J$5,IF(AND($D131='Auto Responses'!$J$27,$H131=""),'Auto Responses'!$J$5,IF(AND($D131='Auto Responses'!$J$27,$H131='Auto Responses'!$J$7),1,IF(AND($D131='Auto Responses'!$J$27,$H131='Auto Responses'!$J$8),0,IF(OR(AND($F131=$G131,$H131=""),$H131='Auto Responses'!$J$7),1,0)))))</f>
      </c>
      <c r="M131" s="4">
        <f>VLOOKUP($A131,'Institution Evaluation'!$A$56:$K$345,11,0)&amp;""</f>
      </c>
      <c r="N131" s="4">
        <f>IF($J131='Auto Responses'!$J$11,1,IF(AND($J131="",$I131='Auto Responses'!$J$11),1,0))</f>
      </c>
      <c r="O131" s="106">
        <f>IF(OR($F$17='Auto Responses'!$J$4,$E131='Auto Responses'!$L$13,$F131='Auto Responses'!$J$5),'Auto Responses'!$J$5,IF($J131="",$K131,IF($J131='Auto Responses'!$J$13,5,IF($J131='Auto Responses'!$J$12,10,IF($J131='Auto Responses'!$J$11,20,0)))))</f>
      </c>
      <c r="P131" s="106">
        <f>IF(OR($O131='Auto Responses'!$J$5,$L131='Auto Responses'!$J$5),'Auto Responses'!$J$5,$O131*$L131)</f>
      </c>
      <c r="Q131" s="106">
        <f t="shared" si="14"/>
      </c>
      <c r="R131" s="106">
        <f t="shared" si="12"/>
      </c>
      <c r="S131" s="106">
        <f t="shared" si="15"/>
      </c>
      <c r="T131" s="106">
        <f t="shared" si="16"/>
      </c>
      <c r="U131" s="106">
        <f t="shared" si="13"/>
      </c>
      <c r="V131" s="106">
        <f t="shared" si="17"/>
      </c>
    </row>
    <row r="132" spans="1:22" ht="60" x14ac:dyDescent="0.2">
      <c r="A132" s="4">
        <f>Questions!$A133</f>
      </c>
      <c r="B132" s="4">
        <f t="shared" si="18"/>
      </c>
      <c r="C132" s="4">
        <f>VLOOKUP($A132,Questions!$A$3:$L$333,2,0)&amp;""</f>
      </c>
      <c r="D132" s="4">
        <f>VLOOKUP($A132,Questions!$A$3:$L$333,11,0)&amp;""</f>
      </c>
      <c r="E132" s="4">
        <f>VLOOKUP($A132,Questions!$A$3:$L$333,12,0)&amp;""</f>
      </c>
      <c r="F132" s="4">
        <f>VLOOKUP($A132,'Institution Evaluation'!$A$56:$K$345,3,0)&amp;""</f>
      </c>
      <c r="G132" s="4">
        <f>VLOOKUP($A132,'Institution Evaluation'!$A$56:$K$345,7,0)&amp;""</f>
      </c>
      <c r="H132" s="4">
        <f>VLOOKUP($A132,'Institution Evaluation'!$A$56:$K$345,8,0)&amp;""</f>
      </c>
      <c r="I132" s="4">
        <f>VLOOKUP($A132,'Institution Evaluation'!$A$56:$K$345,9,0)&amp;""</f>
      </c>
      <c r="J132" s="4">
        <f>VLOOKUP($A132,'Institution Evaluation'!$A$56:$K$345,10,0)&amp;""</f>
      </c>
      <c r="K132" s="4">
        <f>IF($I132='Auto Responses'!$J$11,20,IF($I132='Auto Responses'!$J$13,5,10))</f>
      </c>
      <c r="L132" s="106">
        <f>IF($E132='Auto Responses'!$L$13, 'Auto Responses'!$J$5,IF(AND($D132='Auto Responses'!$J$27,$H132=""),'Auto Responses'!$J$5,IF(AND($D132='Auto Responses'!$J$27,$H132='Auto Responses'!$J$7),1,IF(AND($D132='Auto Responses'!$J$27,$H132='Auto Responses'!$J$8),0,IF(OR(AND($F132=$G132,$H132=""),$H132='Auto Responses'!$J$7),1,0)))))</f>
      </c>
      <c r="M132" s="4">
        <f>VLOOKUP($A132,'Institution Evaluation'!$A$56:$K$345,11,0)&amp;""</f>
      </c>
      <c r="N132" s="4">
        <f>IF($J132='Auto Responses'!$J$11,1,IF(AND($J132="",$I132='Auto Responses'!$J$11),1,0))</f>
      </c>
      <c r="O132" s="106">
        <f>IF(OR($F$17='Auto Responses'!$J$4,$E132='Auto Responses'!$L$13,$F132='Auto Responses'!$J$5),'Auto Responses'!$J$5,IF($J132="",$K132,IF($J132='Auto Responses'!$J$13,5,IF($J132='Auto Responses'!$J$12,10,IF($J132='Auto Responses'!$J$11,20,0)))))</f>
      </c>
      <c r="P132" s="106">
        <f>IF(OR($O132='Auto Responses'!$J$5,$L132='Auto Responses'!$J$5),'Auto Responses'!$J$5,$O132*$L132)</f>
      </c>
      <c r="Q132" s="106">
        <f t="shared" si="14"/>
      </c>
      <c r="R132" s="106">
        <f t="shared" si="12"/>
      </c>
      <c r="S132" s="106">
        <f t="shared" si="15"/>
      </c>
      <c r="T132" s="106">
        <f t="shared" si="16"/>
      </c>
      <c r="U132" s="106">
        <f t="shared" si="13"/>
      </c>
      <c r="V132" s="106">
        <f t="shared" si="17"/>
      </c>
    </row>
    <row r="133" spans="1:22" ht="60" x14ac:dyDescent="0.2">
      <c r="A133" s="4">
        <f>Questions!$A125</f>
      </c>
      <c r="B133" s="4">
        <f t="shared" si="18"/>
      </c>
      <c r="C133" s="4">
        <f>VLOOKUP($A133,Questions!$A$3:$L$333,2,0)&amp;""</f>
      </c>
      <c r="D133" s="4">
        <f>VLOOKUP($A133,Questions!$A$3:$L$333,11,0)&amp;""</f>
      </c>
      <c r="E133" s="4">
        <f>VLOOKUP($A133,Questions!$A$3:$L$333,12,0)&amp;""</f>
      </c>
      <c r="F133" s="4">
        <f>VLOOKUP($A133,'Institution Evaluation'!$A$56:$K$345,3,0)&amp;""</f>
      </c>
      <c r="G133" s="4">
        <f>VLOOKUP($A133,'Institution Evaluation'!$A$56:$K$345,7,0)&amp;""</f>
      </c>
      <c r="H133" s="4">
        <f>VLOOKUP($A133,'Institution Evaluation'!$A$56:$K$345,8,0)&amp;""</f>
      </c>
      <c r="I133" s="4">
        <f>VLOOKUP($A133,'Institution Evaluation'!$A$56:$K$345,9,0)&amp;""</f>
      </c>
      <c r="J133" s="4">
        <f>VLOOKUP($A133,'Institution Evaluation'!$A$56:$K$345,10,0)&amp;""</f>
      </c>
      <c r="K133" s="4">
        <f>IF($I133='Auto Responses'!$J$11,20,IF($I133='Auto Responses'!$J$13,5,10))</f>
      </c>
      <c r="L133" s="106">
        <f>IF($E133='Auto Responses'!$L$13, 'Auto Responses'!$J$5,IF(AND($D133='Auto Responses'!$J$27,$H133=""),'Auto Responses'!$J$5,IF(AND($D133='Auto Responses'!$J$27,$H133='Auto Responses'!$J$7),1,IF(AND($D133='Auto Responses'!$J$27,$H133='Auto Responses'!$J$8),0,IF(OR(AND($F133=$G133,$H133=""),$H133='Auto Responses'!$J$7),1,0)))))</f>
      </c>
      <c r="M133" s="4">
        <f>VLOOKUP($A133,'Institution Evaluation'!$A$56:$K$345,11,0)&amp;""</f>
      </c>
      <c r="N133" s="4">
        <f>IF($J133='Auto Responses'!$J$11,1,IF(AND($J133="",$I133='Auto Responses'!$J$11),1,0))</f>
      </c>
      <c r="O133" s="106">
        <f>IF(OR($F$17='Auto Responses'!$J$4,$E133='Auto Responses'!$L$13,$F133='Auto Responses'!$J$5),'Auto Responses'!$J$5,IF($J133="",$K133,IF($J133='Auto Responses'!$J$13,5,IF($J133='Auto Responses'!$J$12,10,IF($J133='Auto Responses'!$J$11,20,0)))))</f>
      </c>
      <c r="P133" s="106">
        <f>IF(OR($O133='Auto Responses'!$J$5,$L133='Auto Responses'!$J$5),'Auto Responses'!$J$5,$O133*$L133)</f>
      </c>
      <c r="Q133" s="106">
        <f t="shared" si="14"/>
      </c>
      <c r="R133" s="106">
        <f t="shared" ref="R133:R196" si="19">R132+Q133</f>
      </c>
      <c r="S133" s="106">
        <f t="shared" si="15"/>
      </c>
      <c r="T133" s="106">
        <f t="shared" si="16"/>
      </c>
      <c r="U133" s="106">
        <f t="shared" ref="U133:U196" si="20">U132+T133</f>
      </c>
      <c r="V133" s="106">
        <f t="shared" si="17"/>
      </c>
    </row>
    <row r="134" spans="1:22" ht="75" x14ac:dyDescent="0.2">
      <c r="A134" s="4">
        <f>Questions!$A134</f>
      </c>
      <c r="B134" s="4">
        <f t="shared" si="18"/>
      </c>
      <c r="C134" s="4">
        <f>VLOOKUP($A134,Questions!$A$3:$L$333,2,0)&amp;""</f>
      </c>
      <c r="D134" s="4">
        <f>VLOOKUP($A134,Questions!$A$3:$L$333,11,0)&amp;""</f>
      </c>
      <c r="E134" s="4">
        <f>VLOOKUP($A134,Questions!$A$3:$L$333,12,0)&amp;""</f>
      </c>
      <c r="F134" s="4">
        <f>VLOOKUP($A134,'Institution Evaluation'!$A$56:$K$345,3,0)&amp;""</f>
      </c>
      <c r="G134" s="4">
        <f>VLOOKUP($A134,'Institution Evaluation'!$A$56:$K$345,7,0)&amp;""</f>
      </c>
      <c r="H134" s="4">
        <f>VLOOKUP($A134,'Institution Evaluation'!$A$56:$K$345,8,0)&amp;""</f>
      </c>
      <c r="I134" s="4">
        <f>VLOOKUP($A134,'Institution Evaluation'!$A$56:$K$345,9,0)&amp;""</f>
      </c>
      <c r="J134" s="4">
        <f>VLOOKUP($A134,'Institution Evaluation'!$A$56:$K$345,10,0)&amp;""</f>
      </c>
      <c r="K134" s="4">
        <f>IF($I134='Auto Responses'!$J$11,20,IF($I134='Auto Responses'!$J$13,5,10))</f>
      </c>
      <c r="L134" s="106">
        <f>IF($E134='Auto Responses'!$L$13, 'Auto Responses'!$J$5,IF(AND($D134='Auto Responses'!$J$27,$H134=""),'Auto Responses'!$J$5,IF(AND($D134='Auto Responses'!$J$27,$H134='Auto Responses'!$J$7),1,IF(AND($D134='Auto Responses'!$J$27,$H134='Auto Responses'!$J$8),0,IF(OR(AND($F134=$G134,$H134=""),$H134='Auto Responses'!$J$7),1,0)))))</f>
      </c>
      <c r="M134" s="4">
        <f>VLOOKUP($A134,'Institution Evaluation'!$A$56:$K$345,11,0)&amp;""</f>
      </c>
      <c r="N134" s="4">
        <f>IF($J134='Auto Responses'!$J$11,1,IF(AND($J134="",$I134='Auto Responses'!$J$11),1,0))</f>
      </c>
      <c r="O134" s="106">
        <f>IF(OR($F$17='Auto Responses'!$J$4,$E134='Auto Responses'!$L$13,$F134='Auto Responses'!$J$5),'Auto Responses'!$J$5,IF($J134="",$K134,IF($J134='Auto Responses'!$J$13,5,IF($J134='Auto Responses'!$J$12,10,IF($J134='Auto Responses'!$J$11,20,0)))))</f>
      </c>
      <c r="P134" s="106">
        <f>IF(OR($O134='Auto Responses'!$J$5,$L134='Auto Responses'!$J$5),'Auto Responses'!$J$5,$O134*$L134)</f>
      </c>
      <c r="Q134" s="106">
        <f t="shared" si="14"/>
      </c>
      <c r="R134" s="106">
        <f t="shared" si="19"/>
      </c>
      <c r="S134" s="106">
        <f t="shared" si="15"/>
      </c>
      <c r="T134" s="106">
        <f t="shared" si="16"/>
      </c>
      <c r="U134" s="106">
        <f t="shared" si="20"/>
      </c>
      <c r="V134" s="106">
        <f t="shared" si="17"/>
      </c>
    </row>
    <row r="135" spans="1:22" ht="60" x14ac:dyDescent="0.2">
      <c r="A135" s="4">
        <f>Questions!$A135</f>
      </c>
      <c r="B135" s="4">
        <f t="shared" si="18"/>
      </c>
      <c r="C135" s="4">
        <f>VLOOKUP($A135,Questions!$A$3:$L$333,2,0)&amp;""</f>
      </c>
      <c r="D135" s="4">
        <f>VLOOKUP($A135,Questions!$A$3:$L$333,11,0)&amp;""</f>
      </c>
      <c r="E135" s="4">
        <f>VLOOKUP($A135,Questions!$A$3:$L$333,12,0)&amp;""</f>
      </c>
      <c r="F135" s="4">
        <f>VLOOKUP($A135,'Institution Evaluation'!$A$56:$K$345,3,0)&amp;""</f>
      </c>
      <c r="G135" s="4">
        <f>VLOOKUP($A135,'Institution Evaluation'!$A$56:$K$345,7,0)&amp;""</f>
      </c>
      <c r="H135" s="4">
        <f>VLOOKUP($A135,'Institution Evaluation'!$A$56:$K$345,8,0)&amp;""</f>
      </c>
      <c r="I135" s="4">
        <f>VLOOKUP($A135,'Institution Evaluation'!$A$56:$K$345,9,0)&amp;""</f>
      </c>
      <c r="J135" s="4">
        <f>VLOOKUP($A135,'Institution Evaluation'!$A$56:$K$345,10,0)&amp;""</f>
      </c>
      <c r="K135" s="4">
        <f>IF($I135='Auto Responses'!$J$11,20,IF($I135='Auto Responses'!$J$13,5,10))</f>
      </c>
      <c r="L135" s="106">
        <f>IF(OR($E135='Auto Responses'!$L$13,$F135=""),'Auto Responses'!$J$5,IF(AND($D135='Auto Responses'!$J$27,$H135=""),'Auto Responses'!$J$5,IF(AND($D135='Auto Responses'!$J$27,$H135='Auto Responses'!$J$7),1,IF(AND($D135='Auto Responses'!$J$27,$H135='Auto Responses'!$J$8),0,IF(OR(AND($F135=$G135,$H135=""),$H135='Auto Responses'!$J$7),1,0)))))</f>
      </c>
      <c r="M135" s="4">
        <f>VLOOKUP($A135,'Institution Evaluation'!$A$56:$K$345,11,0)&amp;""</f>
      </c>
      <c r="N135" s="4">
        <f>IF($J135='Auto Responses'!$J$11,1,IF(AND($J135="",$I135='Auto Responses'!$J$11),1,0))</f>
      </c>
      <c r="O135" s="106">
        <f>IF(OR($F$17='Auto Responses'!$J$4,$E135='Auto Responses'!$L$13,$F135="",$F135='Auto Responses'!$J$5),'Auto Responses'!$J$5,IF($J135="",$K135,IF($J135='Auto Responses'!$J$13,5,IF($J135='Auto Responses'!$J$12,10,IF($J135='Auto Responses'!$J$11,20,0)))))</f>
      </c>
      <c r="P135" s="106">
        <f>IF(OR($O135='Auto Responses'!$J$5,$L135='Auto Responses'!$J$5),'Auto Responses'!$J$5,$O135*$L135)</f>
      </c>
      <c r="Q135" s="106">
        <f t="shared" si="14"/>
      </c>
      <c r="R135" s="106">
        <f t="shared" si="19"/>
      </c>
      <c r="S135" s="106">
        <f t="shared" si="15"/>
      </c>
      <c r="T135" s="106">
        <f t="shared" si="16"/>
      </c>
      <c r="U135" s="106">
        <f t="shared" si="20"/>
      </c>
      <c r="V135" s="106">
        <f t="shared" si="17"/>
      </c>
    </row>
    <row r="136" spans="1:22" ht="60" x14ac:dyDescent="0.2">
      <c r="A136" s="4">
        <f>Questions!$A136</f>
      </c>
      <c r="B136" s="4">
        <f t="shared" si="18"/>
      </c>
      <c r="C136" s="4">
        <f>VLOOKUP($A136,Questions!$A$3:$L$333,2,0)&amp;""</f>
      </c>
      <c r="D136" s="4">
        <f>VLOOKUP($A136,Questions!$A$3:$L$333,11,0)&amp;""</f>
      </c>
      <c r="E136" s="4">
        <f>VLOOKUP($A136,Questions!$A$3:$L$333,12,0)&amp;""</f>
      </c>
      <c r="F136" s="4">
        <f>VLOOKUP($A136,'Institution Evaluation'!$A$56:$K$345,3,0)&amp;""</f>
      </c>
      <c r="G136" s="4">
        <f>VLOOKUP($A136,'Institution Evaluation'!$A$56:$K$345,7,0)&amp;""</f>
      </c>
      <c r="H136" s="4">
        <f>VLOOKUP($A136,'Institution Evaluation'!$A$56:$K$345,8,0)&amp;""</f>
      </c>
      <c r="I136" s="4">
        <f>VLOOKUP($A136,'Institution Evaluation'!$A$56:$K$345,9,0)&amp;""</f>
      </c>
      <c r="J136" s="4">
        <f>VLOOKUP($A136,'Institution Evaluation'!$A$56:$K$345,10,0)&amp;""</f>
      </c>
      <c r="K136" s="4">
        <f>IF($I136='Auto Responses'!$J$11,20,IF($I136='Auto Responses'!$J$13,5,10))</f>
      </c>
      <c r="L136" s="106">
        <f>IF(OR($E136='Auto Responses'!$L$13,$F136=""),'Auto Responses'!$J$5,IF(AND($D136='Auto Responses'!$J$27,$H136=""),'Auto Responses'!$J$5,IF(AND($D136='Auto Responses'!$J$27,$H136='Auto Responses'!$J$7),1,IF(AND($D136='Auto Responses'!$J$27,$H136='Auto Responses'!$J$8),0,IF(OR(AND($F136=$G136,$H136=""),$H136='Auto Responses'!$J$7),1,0)))))</f>
      </c>
      <c r="M136" s="4">
        <f>VLOOKUP($A136,'Institution Evaluation'!$A$56:$K$345,11,0)&amp;""</f>
      </c>
      <c r="N136" s="4">
        <f>IF($J136='Auto Responses'!$J$11,1,IF(AND($J136="",$I136='Auto Responses'!$J$11),1,0))</f>
      </c>
      <c r="O136" s="106">
        <f>IF(OR($F$17='Auto Responses'!$J$4,$E136='Auto Responses'!$L$13,$F136="",$F136='Auto Responses'!$J$5),'Auto Responses'!$J$5,IF($J136="",$K136,IF($J136='Auto Responses'!$J$13,5,IF($J136='Auto Responses'!$J$12,10,IF($J136='Auto Responses'!$J$11,20,0)))))</f>
      </c>
      <c r="P136" s="106">
        <f>IF(OR($O136='Auto Responses'!$J$5,$L136='Auto Responses'!$J$5),'Auto Responses'!$J$5,$O136*$L136)</f>
      </c>
      <c r="Q136" s="106">
        <f t="shared" si="14"/>
      </c>
      <c r="R136" s="106">
        <f t="shared" si="19"/>
      </c>
      <c r="S136" s="106">
        <f t="shared" si="15"/>
      </c>
      <c r="T136" s="106">
        <f t="shared" si="16"/>
      </c>
      <c r="U136" s="106">
        <f t="shared" si="20"/>
      </c>
      <c r="V136" s="106">
        <f t="shared" si="17"/>
      </c>
    </row>
    <row r="137" spans="1:22" ht="60" x14ac:dyDescent="0.2">
      <c r="A137" s="4">
        <f>Questions!$A137</f>
      </c>
      <c r="B137" s="4">
        <f t="shared" si="18"/>
      </c>
      <c r="C137" s="4">
        <f>VLOOKUP($A137,Questions!$A$3:$L$333,2,0)&amp;""</f>
      </c>
      <c r="D137" s="4">
        <f>VLOOKUP($A137,Questions!$A$3:$L$333,11,0)&amp;""</f>
      </c>
      <c r="E137" s="4">
        <f>VLOOKUP($A137,Questions!$A$3:$L$333,12,0)&amp;""</f>
      </c>
      <c r="F137" s="4">
        <f>VLOOKUP($A137,'Institution Evaluation'!$A$56:$K$345,3,0)&amp;""</f>
      </c>
      <c r="G137" s="4">
        <f>VLOOKUP($A137,'Institution Evaluation'!$A$56:$K$345,7,0)&amp;""</f>
      </c>
      <c r="H137" s="4">
        <f>VLOOKUP($A137,'Institution Evaluation'!$A$56:$K$345,8,0)&amp;""</f>
      </c>
      <c r="I137" s="4">
        <f>VLOOKUP($A137,'Institution Evaluation'!$A$56:$K$345,9,0)&amp;""</f>
      </c>
      <c r="J137" s="4">
        <f>VLOOKUP($A137,'Institution Evaluation'!$A$56:$K$345,10,0)&amp;""</f>
      </c>
      <c r="K137" s="4">
        <f>IF($I137='Auto Responses'!$J$11,20,IF($I137='Auto Responses'!$J$13,5,10))</f>
      </c>
      <c r="L137" s="106">
        <f>IF(OR($E137='Auto Responses'!$L$13,$F137=""),'Auto Responses'!$J$5,IF(AND($D137='Auto Responses'!$J$27,$H137=""),'Auto Responses'!$J$5,IF(AND($D137='Auto Responses'!$J$27,$H137='Auto Responses'!$J$7),1,IF(AND($D137='Auto Responses'!$J$27,$H137='Auto Responses'!$J$8),0,IF(OR(AND($F137=$G137,$H137=""),$H137='Auto Responses'!$J$7),1,0)))))</f>
      </c>
      <c r="M137" s="4">
        <f>VLOOKUP($A137,'Institution Evaluation'!$A$56:$K$345,11,0)&amp;""</f>
      </c>
      <c r="N137" s="4">
        <f>IF($J137='Auto Responses'!$J$11,1,IF(AND($J137="",$I137='Auto Responses'!$J$11),1,0))</f>
      </c>
      <c r="O137" s="106">
        <f>IF(OR($F$17='Auto Responses'!$J$4,$E137='Auto Responses'!$L$13,$F137="",$F137='Auto Responses'!$J$5),'Auto Responses'!$J$5,IF($J137="",$K137,IF($J137='Auto Responses'!$J$13,5,IF($J137='Auto Responses'!$J$12,10,IF($J137='Auto Responses'!$J$11,20,0)))))</f>
      </c>
      <c r="P137" s="106">
        <f>IF(OR($O137='Auto Responses'!$J$5,$L137='Auto Responses'!$J$5),'Auto Responses'!$J$5,$O137*$L137)</f>
      </c>
      <c r="Q137" s="106">
        <f t="shared" si="14"/>
      </c>
      <c r="R137" s="106">
        <f t="shared" si="19"/>
      </c>
      <c r="S137" s="106">
        <f t="shared" si="15"/>
      </c>
      <c r="T137" s="106">
        <f t="shared" si="16"/>
      </c>
      <c r="U137" s="106">
        <f t="shared" si="20"/>
      </c>
      <c r="V137" s="106">
        <f t="shared" si="17"/>
      </c>
    </row>
    <row r="138" spans="1:22" ht="60" x14ac:dyDescent="0.2">
      <c r="A138" s="4">
        <f>Questions!$A138</f>
      </c>
      <c r="B138" s="4">
        <f t="shared" si="18"/>
      </c>
      <c r="C138" s="4">
        <f>VLOOKUP($A138,Questions!$A$3:$L$333,2,0)&amp;""</f>
      </c>
      <c r="D138" s="4">
        <f>VLOOKUP($A138,Questions!$A$3:$L$333,11,0)&amp;""</f>
      </c>
      <c r="E138" s="4">
        <f>VLOOKUP($A138,Questions!$A$3:$L$333,12,0)&amp;""</f>
      </c>
      <c r="F138" s="4">
        <f>VLOOKUP($A138,'Institution Evaluation'!$A$56:$K$345,3,0)&amp;""</f>
      </c>
      <c r="G138" s="4">
        <f>VLOOKUP($A138,'Institution Evaluation'!$A$56:$K$345,7,0)&amp;""</f>
      </c>
      <c r="H138" s="4">
        <f>VLOOKUP($A138,'Institution Evaluation'!$A$56:$K$345,8,0)&amp;""</f>
      </c>
      <c r="I138" s="4">
        <f>VLOOKUP($A138,'Institution Evaluation'!$A$56:$K$345,9,0)&amp;""</f>
      </c>
      <c r="J138" s="4">
        <f>VLOOKUP($A138,'Institution Evaluation'!$A$56:$K$345,10,0)&amp;""</f>
      </c>
      <c r="K138" s="4">
        <f>IF($I138='Auto Responses'!$J$11,20,IF($I138='Auto Responses'!$J$13,5,10))</f>
      </c>
      <c r="L138" s="106">
        <f>IF(OR($E138='Auto Responses'!$L$13,$F138=""),'Auto Responses'!$J$5,IF(AND($D138='Auto Responses'!$J$27,$H138=""),'Auto Responses'!$J$5,IF(AND($D138='Auto Responses'!$J$27,$H138='Auto Responses'!$J$7),1,IF(AND($D138='Auto Responses'!$J$27,$H138='Auto Responses'!$J$8),0,IF(OR(AND($F138=$G138,$H138=""),$H138='Auto Responses'!$J$7),1,0)))))</f>
      </c>
      <c r="M138" s="4">
        <f>VLOOKUP($A138,'Institution Evaluation'!$A$56:$K$345,11,0)&amp;""</f>
      </c>
      <c r="N138" s="4">
        <f>IF($J138='Auto Responses'!$J$11,1,IF(AND($J138="",$I138='Auto Responses'!$J$11),1,0))</f>
      </c>
      <c r="O138" s="106">
        <f>IF(OR($F$17='Auto Responses'!$J$4,$E138='Auto Responses'!$L$13,$F138="",$F138='Auto Responses'!$J$5),'Auto Responses'!$J$5,IF($J138="",$K138,IF($J138='Auto Responses'!$J$13,5,IF($J138='Auto Responses'!$J$12,10,IF($J138='Auto Responses'!$J$11,20,0)))))</f>
      </c>
      <c r="P138" s="106">
        <f>IF(OR($O138='Auto Responses'!$J$5,$L138='Auto Responses'!$J$5),'Auto Responses'!$J$5,$O138*$L138)</f>
      </c>
      <c r="Q138" s="106">
        <f t="shared" si="14"/>
      </c>
      <c r="R138" s="106">
        <f t="shared" si="19"/>
      </c>
      <c r="S138" s="106">
        <f t="shared" si="15"/>
      </c>
      <c r="T138" s="106">
        <f t="shared" si="16"/>
      </c>
      <c r="U138" s="106">
        <f t="shared" si="20"/>
      </c>
      <c r="V138" s="106">
        <f t="shared" si="17"/>
      </c>
    </row>
    <row r="139" spans="1:22" ht="60" x14ac:dyDescent="0.2">
      <c r="A139" s="4">
        <f>Questions!$A139</f>
      </c>
      <c r="B139" s="4">
        <f t="shared" si="18"/>
      </c>
      <c r="C139" s="4">
        <f>VLOOKUP($A139,Questions!$A$3:$L$333,2,0)&amp;""</f>
      </c>
      <c r="D139" s="4">
        <f>VLOOKUP($A139,Questions!$A$3:$L$333,11,0)&amp;""</f>
      </c>
      <c r="E139" s="4">
        <f>VLOOKUP($A139,Questions!$A$3:$L$333,12,0)&amp;""</f>
      </c>
      <c r="F139" s="4">
        <f>VLOOKUP($A139,'Institution Evaluation'!$A$56:$K$345,3,0)&amp;""</f>
      </c>
      <c r="G139" s="4">
        <f>VLOOKUP($A139,'Institution Evaluation'!$A$56:$K$345,7,0)&amp;""</f>
      </c>
      <c r="H139" s="4">
        <f>VLOOKUP($A139,'Institution Evaluation'!$A$56:$K$345,8,0)&amp;""</f>
      </c>
      <c r="I139" s="4">
        <f>VLOOKUP($A139,'Institution Evaluation'!$A$56:$K$345,9,0)&amp;""</f>
      </c>
      <c r="J139" s="4">
        <f>VLOOKUP($A139,'Institution Evaluation'!$A$56:$K$345,10,0)&amp;""</f>
      </c>
      <c r="K139" s="4">
        <f>IF($I139='Auto Responses'!$J$11,20,IF($I139='Auto Responses'!$J$13,5,10))</f>
      </c>
      <c r="L139" s="106">
        <f>IF(OR($E139='Auto Responses'!$L$13,$F139=""),'Auto Responses'!$J$5,IF(AND($D139='Auto Responses'!$J$27,$H139=""),'Auto Responses'!$J$5,IF(AND($D139='Auto Responses'!$J$27,$H139='Auto Responses'!$J$7),1,IF(AND($D139='Auto Responses'!$J$27,$H139='Auto Responses'!$J$8),0,IF(OR(AND($F139=$G139,$H139=""),$H139='Auto Responses'!$J$7),1,0)))))</f>
      </c>
      <c r="M139" s="4">
        <f>VLOOKUP($A139,'Institution Evaluation'!$A$56:$K$345,11,0)&amp;""</f>
      </c>
      <c r="N139" s="4">
        <f>IF($J139='Auto Responses'!$J$11,1,IF(AND($J139="",$I139='Auto Responses'!$J$11),1,0))</f>
      </c>
      <c r="O139" s="106">
        <f>IF(OR($F$17='Auto Responses'!$J$4,$E139='Auto Responses'!$L$13,$F139="",$F139='Auto Responses'!$J$5),'Auto Responses'!$J$5,IF($J139="",$K139,IF($J139='Auto Responses'!$J$13,5,IF($J139='Auto Responses'!$J$12,10,IF($J139='Auto Responses'!$J$11,20,0)))))</f>
      </c>
      <c r="P139" s="106">
        <f>IF(OR($O139='Auto Responses'!$J$5,$L139='Auto Responses'!$J$5),'Auto Responses'!$J$5,$O139*$L139)</f>
      </c>
      <c r="Q139" s="106">
        <f t="shared" si="14"/>
      </c>
      <c r="R139" s="106">
        <f t="shared" si="19"/>
      </c>
      <c r="S139" s="106">
        <f t="shared" si="15"/>
      </c>
      <c r="T139" s="106">
        <f t="shared" si="16"/>
      </c>
      <c r="U139" s="106">
        <f t="shared" si="20"/>
      </c>
      <c r="V139" s="106">
        <f t="shared" si="17"/>
      </c>
    </row>
    <row r="140" spans="1:22" ht="60" x14ac:dyDescent="0.2">
      <c r="A140" s="4">
        <f>Questions!$A140</f>
      </c>
      <c r="B140" s="4">
        <f t="shared" si="18"/>
      </c>
      <c r="C140" s="4">
        <f>VLOOKUP($A140,Questions!$A$3:$L$333,2,0)&amp;""</f>
      </c>
      <c r="D140" s="4">
        <f>VLOOKUP($A140,Questions!$A$3:$L$333,11,0)&amp;""</f>
      </c>
      <c r="E140" s="4">
        <f>VLOOKUP($A140,Questions!$A$3:$L$333,12,0)&amp;""</f>
      </c>
      <c r="F140" s="4">
        <f>VLOOKUP($A140,'Institution Evaluation'!$A$56:$K$345,3,0)&amp;""</f>
      </c>
      <c r="G140" s="4">
        <f>VLOOKUP($A140,'Institution Evaluation'!$A$56:$K$345,7,0)&amp;""</f>
      </c>
      <c r="H140" s="4">
        <f>VLOOKUP($A140,'Institution Evaluation'!$A$56:$K$345,8,0)&amp;""</f>
      </c>
      <c r="I140" s="4">
        <f>VLOOKUP($A140,'Institution Evaluation'!$A$56:$K$345,9,0)&amp;""</f>
      </c>
      <c r="J140" s="4">
        <f>VLOOKUP($A140,'Institution Evaluation'!$A$56:$K$345,10,0)&amp;""</f>
      </c>
      <c r="K140" s="4">
        <f>IF($I140='Auto Responses'!$J$11,20,IF($I140='Auto Responses'!$J$13,5,10))</f>
      </c>
      <c r="L140" s="106">
        <f>IF(OR($E140='Auto Responses'!$L$13,$F140=""),'Auto Responses'!$J$5,IF(AND($D140='Auto Responses'!$J$27,$H140=""),'Auto Responses'!$J$5,IF(AND($D140='Auto Responses'!$J$27,$H140='Auto Responses'!$J$7),1,IF(AND($D140='Auto Responses'!$J$27,$H140='Auto Responses'!$J$8),0,IF(OR(AND($F140=$G140,$H140=""),$H140='Auto Responses'!$J$7),1,0)))))</f>
      </c>
      <c r="M140" s="4">
        <f>VLOOKUP($A140,'Institution Evaluation'!$A$56:$K$345,11,0)&amp;""</f>
      </c>
      <c r="N140" s="4">
        <f>IF($J140='Auto Responses'!$J$11,1,IF(AND($J140="",$I140='Auto Responses'!$J$11),1,0))</f>
      </c>
      <c r="O140" s="106">
        <f>IF(OR($F$17='Auto Responses'!$J$4,$E140='Auto Responses'!$L$13,$F140="",$F140='Auto Responses'!$J$5),'Auto Responses'!$J$5,IF($J140="",$K140,IF($J140='Auto Responses'!$J$13,5,IF($J140='Auto Responses'!$J$12,10,IF($J140='Auto Responses'!$J$11,20,0)))))</f>
      </c>
      <c r="P140" s="106">
        <f>IF(OR($O140='Auto Responses'!$J$5,$L140='Auto Responses'!$J$5),'Auto Responses'!$J$5,$O140*$L140)</f>
      </c>
      <c r="Q140" s="106">
        <f t="shared" si="14"/>
      </c>
      <c r="R140" s="106">
        <f t="shared" si="19"/>
      </c>
      <c r="S140" s="106">
        <f t="shared" si="15"/>
      </c>
      <c r="T140" s="106">
        <f t="shared" si="16"/>
      </c>
      <c r="U140" s="106">
        <f t="shared" si="20"/>
      </c>
      <c r="V140" s="106">
        <f t="shared" si="17"/>
      </c>
    </row>
    <row r="141" spans="1:22" ht="60" x14ac:dyDescent="0.2">
      <c r="A141" s="4">
        <f>Questions!$A141</f>
      </c>
      <c r="B141" s="4">
        <f t="shared" si="18"/>
      </c>
      <c r="C141" s="4">
        <f>VLOOKUP($A141,Questions!$A$3:$L$333,2,0)&amp;""</f>
      </c>
      <c r="D141" s="4">
        <f>VLOOKUP($A141,Questions!$A$3:$L$333,11,0)&amp;""</f>
      </c>
      <c r="E141" s="4">
        <f>VLOOKUP($A141,Questions!$A$3:$L$333,12,0)&amp;""</f>
      </c>
      <c r="F141" s="4">
        <f>VLOOKUP($A141,'Institution Evaluation'!$A$56:$K$345,3,0)&amp;""</f>
      </c>
      <c r="G141" s="4">
        <f>VLOOKUP($A141,'Institution Evaluation'!$A$56:$K$345,7,0)&amp;""</f>
      </c>
      <c r="H141" s="4">
        <f>VLOOKUP($A141,'Institution Evaluation'!$A$56:$K$345,8,0)&amp;""</f>
      </c>
      <c r="I141" s="4">
        <f>VLOOKUP($A141,'Institution Evaluation'!$A$56:$K$345,9,0)&amp;""</f>
      </c>
      <c r="J141" s="4">
        <f>VLOOKUP($A141,'Institution Evaluation'!$A$56:$K$345,10,0)&amp;""</f>
      </c>
      <c r="K141" s="4">
        <f>IF($I141='Auto Responses'!$J$11,20,IF($I141='Auto Responses'!$J$13,5,10))</f>
      </c>
      <c r="L141" s="106">
        <f>IF(OR($E141='Auto Responses'!$L$13,$F141=""),'Auto Responses'!$J$5,IF(AND($D141='Auto Responses'!$J$27,$H141=""),'Auto Responses'!$J$5,IF(AND($D141='Auto Responses'!$J$27,$H141='Auto Responses'!$J$7),1,IF(AND($D141='Auto Responses'!$J$27,$H141='Auto Responses'!$J$8),0,IF(OR(AND($F141=$G141,$H141=""),$H141='Auto Responses'!$J$7),1,0)))))</f>
      </c>
      <c r="M141" s="4">
        <f>VLOOKUP($A141,'Institution Evaluation'!$A$56:$K$345,11,0)&amp;""</f>
      </c>
      <c r="N141" s="4">
        <f>IF($J141='Auto Responses'!$J$11,1,IF(AND($J141="",$I141='Auto Responses'!$J$11),1,0))</f>
      </c>
      <c r="O141" s="106">
        <f>IF(OR($F$17='Auto Responses'!$J$4,$E141='Auto Responses'!$L$13,$F141="",$F141='Auto Responses'!$J$5),'Auto Responses'!$J$5,IF($J141="",$K141,IF($J141='Auto Responses'!$J$13,5,IF($J141='Auto Responses'!$J$12,10,IF($J141='Auto Responses'!$J$11,20,0)))))</f>
      </c>
      <c r="P141" s="106">
        <f>IF(OR($O141='Auto Responses'!$J$5,$L141='Auto Responses'!$J$5),'Auto Responses'!$J$5,$O141*$L141)</f>
      </c>
      <c r="Q141" s="106">
        <f t="shared" si="14"/>
      </c>
      <c r="R141" s="106">
        <f t="shared" si="19"/>
      </c>
      <c r="S141" s="106">
        <f t="shared" si="15"/>
      </c>
      <c r="T141" s="106">
        <f t="shared" si="16"/>
      </c>
      <c r="U141" s="106">
        <f t="shared" si="20"/>
      </c>
      <c r="V141" s="106">
        <f t="shared" si="17"/>
      </c>
    </row>
    <row r="142" spans="1:22" ht="60" x14ac:dyDescent="0.2">
      <c r="A142" s="4">
        <f>Questions!$A142</f>
      </c>
      <c r="B142" s="4">
        <f t="shared" si="18"/>
      </c>
      <c r="C142" s="4">
        <f>VLOOKUP($A142,Questions!$A$3:$L$333,2,0)&amp;""</f>
      </c>
      <c r="D142" s="4">
        <f>VLOOKUP($A142,Questions!$A$3:$L$333,11,0)&amp;""</f>
      </c>
      <c r="E142" s="4">
        <f>VLOOKUP($A142,Questions!$A$3:$L$333,12,0)&amp;""</f>
      </c>
      <c r="F142" s="4">
        <f>VLOOKUP($A142,'Institution Evaluation'!$A$56:$K$345,3,0)&amp;""</f>
      </c>
      <c r="G142" s="4">
        <f>VLOOKUP($A142,'Institution Evaluation'!$A$56:$K$345,7,0)&amp;""</f>
      </c>
      <c r="H142" s="4">
        <f>VLOOKUP($A142,'Institution Evaluation'!$A$56:$K$345,8,0)&amp;""</f>
      </c>
      <c r="I142" s="4">
        <f>VLOOKUP($A142,'Institution Evaluation'!$A$56:$K$345,9,0)&amp;""</f>
      </c>
      <c r="J142" s="4">
        <f>VLOOKUP($A142,'Institution Evaluation'!$A$56:$K$345,10,0)&amp;""</f>
      </c>
      <c r="K142" s="4">
        <f>IF($I142='Auto Responses'!$J$11,20,IF($I142='Auto Responses'!$J$13,5,10))</f>
      </c>
      <c r="L142" s="106">
        <f>IF(OR($E142='Auto Responses'!$L$13,$F142=""),'Auto Responses'!$J$5,IF(AND($D142='Auto Responses'!$J$27,$H142=""),'Auto Responses'!$J$5,IF(AND($D142='Auto Responses'!$J$27,$H142='Auto Responses'!$J$7),1,IF(AND($D142='Auto Responses'!$J$27,$H142='Auto Responses'!$J$8),0,IF(OR(AND($F142=$G142,$H142=""),$H142='Auto Responses'!$J$7),1,0)))))</f>
      </c>
      <c r="M142" s="4">
        <f>VLOOKUP($A142,'Institution Evaluation'!$A$56:$K$345,11,0)&amp;""</f>
      </c>
      <c r="N142" s="4">
        <f>IF($J142='Auto Responses'!$J$11,1,IF(AND($J142="",$I142='Auto Responses'!$J$11),1,0))</f>
      </c>
      <c r="O142" s="106">
        <f>IF(OR($F$17='Auto Responses'!$J$4,$E142='Auto Responses'!$L$13,$F142="",$F142='Auto Responses'!$J$5),'Auto Responses'!$J$5,IF($J142="",$K142,IF($J142='Auto Responses'!$J$13,5,IF($J142='Auto Responses'!$J$12,10,IF($J142='Auto Responses'!$J$11,20,0)))))</f>
      </c>
      <c r="P142" s="106">
        <f>IF(OR($O142='Auto Responses'!$J$5,$L142='Auto Responses'!$J$5),'Auto Responses'!$J$5,$O142*$L142)</f>
      </c>
      <c r="Q142" s="106">
        <f t="shared" si="14"/>
      </c>
      <c r="R142" s="106">
        <f t="shared" si="19"/>
      </c>
      <c r="S142" s="106">
        <f t="shared" si="15"/>
      </c>
      <c r="T142" s="106">
        <f t="shared" si="16"/>
      </c>
      <c r="U142" s="106">
        <f t="shared" si="20"/>
      </c>
      <c r="V142" s="106">
        <f t="shared" si="17"/>
      </c>
    </row>
    <row r="143" spans="1:22" ht="60" x14ac:dyDescent="0.2">
      <c r="A143" s="4">
        <f>Questions!$A143</f>
      </c>
      <c r="B143" s="4">
        <f t="shared" si="18"/>
      </c>
      <c r="C143" s="4">
        <f>VLOOKUP($A143,Questions!$A$3:$L$333,2,0)&amp;""</f>
      </c>
      <c r="D143" s="4">
        <f>VLOOKUP($A143,Questions!$A$3:$L$333,11,0)&amp;""</f>
      </c>
      <c r="E143" s="4">
        <f>VLOOKUP($A143,Questions!$A$3:$L$333,12,0)&amp;""</f>
      </c>
      <c r="F143" s="4">
        <f>VLOOKUP($A143,'Institution Evaluation'!$A$56:$K$345,3,0)&amp;""</f>
      </c>
      <c r="G143" s="4">
        <f>VLOOKUP($A143,'Institution Evaluation'!$A$56:$K$345,7,0)&amp;""</f>
      </c>
      <c r="H143" s="4">
        <f>VLOOKUP($A143,'Institution Evaluation'!$A$56:$K$345,8,0)&amp;""</f>
      </c>
      <c r="I143" s="4">
        <f>VLOOKUP($A143,'Institution Evaluation'!$A$56:$K$345,9,0)&amp;""</f>
      </c>
      <c r="J143" s="4">
        <f>VLOOKUP($A143,'Institution Evaluation'!$A$56:$K$345,10,0)&amp;""</f>
      </c>
      <c r="K143" s="4">
        <f>IF($I143='Auto Responses'!$J$11,20,IF($I143='Auto Responses'!$J$13,5,10))</f>
      </c>
      <c r="L143" s="106">
        <f>IF(OR($E143='Auto Responses'!$L$13,$F143=""),'Auto Responses'!$J$5,IF(AND($D143='Auto Responses'!$J$27,$H143=""),'Auto Responses'!$J$5,IF(AND($D143='Auto Responses'!$J$27,$H143='Auto Responses'!$J$7),1,IF(AND($D143='Auto Responses'!$J$27,$H143='Auto Responses'!$J$8),0,IF(OR(AND($F143=$G143,$H143=""),$H143='Auto Responses'!$J$7),1,0)))))</f>
      </c>
      <c r="M143" s="4">
        <f>VLOOKUP($A143,'Institution Evaluation'!$A$56:$K$345,11,0)&amp;""</f>
      </c>
      <c r="N143" s="4">
        <f>IF($J143='Auto Responses'!$J$11,1,IF(AND($J143="",$I143='Auto Responses'!$J$11),1,0))</f>
      </c>
      <c r="O143" s="106">
        <f>IF(OR($F$17='Auto Responses'!$J$4,$E143='Auto Responses'!$L$13,$F143="",$F143='Auto Responses'!$J$5),'Auto Responses'!$J$5,IF($J143="",$K143,IF($J143='Auto Responses'!$J$13,5,IF($J143='Auto Responses'!$J$12,10,IF($J143='Auto Responses'!$J$11,20,0)))))</f>
      </c>
      <c r="P143" s="106">
        <f>IF(OR($O143='Auto Responses'!$J$5,$L143='Auto Responses'!$J$5),'Auto Responses'!$J$5,$O143*$L143)</f>
      </c>
      <c r="Q143" s="106">
        <f t="shared" si="14"/>
      </c>
      <c r="R143" s="106">
        <f t="shared" si="19"/>
      </c>
      <c r="S143" s="106">
        <f t="shared" si="15"/>
      </c>
      <c r="T143" s="106">
        <f t="shared" si="16"/>
      </c>
      <c r="U143" s="106">
        <f t="shared" si="20"/>
      </c>
      <c r="V143" s="106">
        <f t="shared" si="17"/>
      </c>
    </row>
    <row r="144" spans="1:22" ht="60" x14ac:dyDescent="0.2">
      <c r="A144" s="4">
        <f>Questions!$A144</f>
      </c>
      <c r="B144" s="4">
        <f t="shared" si="18"/>
      </c>
      <c r="C144" s="4">
        <f>VLOOKUP($A144,Questions!$A$3:$L$333,2,0)&amp;""</f>
      </c>
      <c r="D144" s="4">
        <f>VLOOKUP($A144,Questions!$A$3:$L$333,11,0)&amp;""</f>
      </c>
      <c r="E144" s="4">
        <f>VLOOKUP($A144,Questions!$A$3:$L$333,12,0)&amp;""</f>
      </c>
      <c r="F144" s="4">
        <f>VLOOKUP($A144,'Institution Evaluation'!$A$56:$K$345,3,0)&amp;""</f>
      </c>
      <c r="G144" s="4">
        <f>VLOOKUP($A144,'Institution Evaluation'!$A$56:$K$345,7,0)&amp;""</f>
      </c>
      <c r="H144" s="4">
        <f>VLOOKUP($A144,'Institution Evaluation'!$A$56:$K$345,8,0)&amp;""</f>
      </c>
      <c r="I144" s="4">
        <f>VLOOKUP($A144,'Institution Evaluation'!$A$56:$K$345,9,0)&amp;""</f>
      </c>
      <c r="J144" s="4">
        <f>VLOOKUP($A144,'Institution Evaluation'!$A$56:$K$345,10,0)&amp;""</f>
      </c>
      <c r="K144" s="4">
        <f>IF($I144='Auto Responses'!$J$11,20,IF($I144='Auto Responses'!$J$13,5,10))</f>
      </c>
      <c r="L144" s="106">
        <f>IF(OR($E144='Auto Responses'!$L$13,$F144=""),'Auto Responses'!$J$5,IF(AND($D144='Auto Responses'!$J$27,$H144=""),'Auto Responses'!$J$5,IF(AND($D144='Auto Responses'!$J$27,$H144='Auto Responses'!$J$7),1,IF(AND($D144='Auto Responses'!$J$27,$H144='Auto Responses'!$J$8),0,IF(OR(AND($F144=$G144,$H144=""),$H144='Auto Responses'!$J$7),1,0)))))</f>
      </c>
      <c r="M144" s="4">
        <f>VLOOKUP($A144,'Institution Evaluation'!$A$56:$K$345,11,0)&amp;""</f>
      </c>
      <c r="N144" s="4">
        <f>IF($J144='Auto Responses'!$J$11,1,IF(AND($J144="",$I144='Auto Responses'!$J$11),1,0))</f>
      </c>
      <c r="O144" s="106">
        <f>IF(OR($F$17='Auto Responses'!$J$4,$E144='Auto Responses'!$L$13,$F144="",$F144='Auto Responses'!$J$5),'Auto Responses'!$J$5,IF($J144="",$K144,IF($J144='Auto Responses'!$J$13,5,IF($J144='Auto Responses'!$J$12,10,IF($J144='Auto Responses'!$J$11,20,0)))))</f>
      </c>
      <c r="P144" s="106">
        <f>IF(OR($O144='Auto Responses'!$J$5,$L144='Auto Responses'!$J$5),'Auto Responses'!$J$5,$O144*$L144)</f>
      </c>
      <c r="Q144" s="106">
        <f t="shared" si="14"/>
      </c>
      <c r="R144" s="106">
        <f t="shared" si="19"/>
      </c>
      <c r="S144" s="106">
        <f t="shared" si="15"/>
      </c>
      <c r="T144" s="106">
        <f t="shared" si="16"/>
      </c>
      <c r="U144" s="106">
        <f t="shared" si="20"/>
      </c>
      <c r="V144" s="106">
        <f t="shared" si="17"/>
      </c>
    </row>
    <row r="145" spans="1:22" ht="60" x14ac:dyDescent="0.2">
      <c r="A145" s="4">
        <f>Questions!$A145</f>
      </c>
      <c r="B145" s="4">
        <f t="shared" si="18"/>
      </c>
      <c r="C145" s="4">
        <f>VLOOKUP($A145,Questions!$A$3:$L$333,2,0)&amp;""</f>
      </c>
      <c r="D145" s="4">
        <f>VLOOKUP($A145,Questions!$A$3:$L$333,11,0)&amp;""</f>
      </c>
      <c r="E145" s="4">
        <f>VLOOKUP($A145,Questions!$A$3:$L$333,12,0)&amp;""</f>
      </c>
      <c r="F145" s="4">
        <f>VLOOKUP($A145,'Institution Evaluation'!$A$56:$K$345,3,0)&amp;""</f>
      </c>
      <c r="G145" s="4">
        <f>VLOOKUP($A145,'Institution Evaluation'!$A$56:$K$345,7,0)&amp;""</f>
      </c>
      <c r="H145" s="4">
        <f>VLOOKUP($A145,'Institution Evaluation'!$A$56:$K$345,8,0)&amp;""</f>
      </c>
      <c r="I145" s="4">
        <f>VLOOKUP($A145,'Institution Evaluation'!$A$56:$K$345,9,0)&amp;""</f>
      </c>
      <c r="J145" s="4">
        <f>VLOOKUP($A145,'Institution Evaluation'!$A$56:$K$345,10,0)&amp;""</f>
      </c>
      <c r="K145" s="4">
        <f>IF($I145='Auto Responses'!$J$11,20,IF($I145='Auto Responses'!$J$13,5,10))</f>
      </c>
      <c r="L145" s="106">
        <f>IF(OR($E145='Auto Responses'!$L$13,$F145=""),'Auto Responses'!$J$5,IF(AND($D145='Auto Responses'!$J$27,$H145=""),'Auto Responses'!$J$5,IF(AND($D145='Auto Responses'!$J$27,$H145='Auto Responses'!$J$7),1,IF(AND($D145='Auto Responses'!$J$27,$H145='Auto Responses'!$J$8),0,IF(OR(AND($F145=$G145,$H145=""),$H145='Auto Responses'!$J$7),1,0)))))</f>
      </c>
      <c r="M145" s="4">
        <f>VLOOKUP($A145,'Institution Evaluation'!$A$56:$K$345,11,0)&amp;""</f>
      </c>
      <c r="N145" s="4">
        <f>IF($J145='Auto Responses'!$J$11,1,IF(AND($J145="",$I145='Auto Responses'!$J$11),1,0))</f>
      </c>
      <c r="O145" s="106">
        <f>IF(OR($F$17='Auto Responses'!$J$4,$E145='Auto Responses'!$L$13,$F145="",$F145='Auto Responses'!$J$5),'Auto Responses'!$J$5,IF($J145="",$K145,IF($J145='Auto Responses'!$J$13,5,IF($J145='Auto Responses'!$J$12,10,IF($J145='Auto Responses'!$J$11,20,0)))))</f>
      </c>
      <c r="P145" s="106">
        <f>IF(OR($O145='Auto Responses'!$J$5,$L145='Auto Responses'!$J$5),'Auto Responses'!$J$5,$O145*$L145)</f>
      </c>
      <c r="Q145" s="106">
        <f t="shared" si="14"/>
      </c>
      <c r="R145" s="106">
        <f t="shared" si="19"/>
      </c>
      <c r="S145" s="106">
        <f t="shared" si="15"/>
      </c>
      <c r="T145" s="106">
        <f t="shared" si="16"/>
      </c>
      <c r="U145" s="106">
        <f t="shared" si="20"/>
      </c>
      <c r="V145" s="106">
        <f t="shared" si="17"/>
      </c>
    </row>
    <row r="146" spans="1:22" ht="60" x14ac:dyDescent="0.2">
      <c r="A146" s="4">
        <f>Questions!$A146</f>
      </c>
      <c r="B146" s="4">
        <f t="shared" si="18"/>
      </c>
      <c r="C146" s="4">
        <f>VLOOKUP($A146,Questions!$A$3:$L$333,2,0)&amp;""</f>
      </c>
      <c r="D146" s="4">
        <f>VLOOKUP($A146,Questions!$A$3:$L$333,11,0)&amp;""</f>
      </c>
      <c r="E146" s="4">
        <f>VLOOKUP($A146,Questions!$A$3:$L$333,12,0)&amp;""</f>
      </c>
      <c r="F146" s="4">
        <f>VLOOKUP($A146,'Institution Evaluation'!$A$56:$K$345,3,0)&amp;""</f>
      </c>
      <c r="G146" s="4">
        <f>VLOOKUP($A146,'Institution Evaluation'!$A$56:$K$345,7,0)&amp;""</f>
      </c>
      <c r="H146" s="4">
        <f>VLOOKUP($A146,'Institution Evaluation'!$A$56:$K$345,8,0)&amp;""</f>
      </c>
      <c r="I146" s="4">
        <f>VLOOKUP($A146,'Institution Evaluation'!$A$56:$K$345,9,0)&amp;""</f>
      </c>
      <c r="J146" s="4">
        <f>VLOOKUP($A146,'Institution Evaluation'!$A$56:$K$345,10,0)&amp;""</f>
      </c>
      <c r="K146" s="4">
        <f>IF($I146='Auto Responses'!$J$11,20,IF($I146='Auto Responses'!$J$13,5,10))</f>
      </c>
      <c r="L146" s="106">
        <f>IF(OR($E146='Auto Responses'!$L$13,$F146=""),'Auto Responses'!$J$5,IF(AND($D146='Auto Responses'!$J$27,$H146=""),'Auto Responses'!$J$5,IF(AND($D146='Auto Responses'!$J$27,$H146='Auto Responses'!$J$7),1,IF(AND($D146='Auto Responses'!$J$27,$H146='Auto Responses'!$J$8),0,IF(OR(AND($F146=$G146,$H146=""),$H146='Auto Responses'!$J$7),1,0)))))</f>
      </c>
      <c r="M146" s="4">
        <f>VLOOKUP($A146,'Institution Evaluation'!$A$56:$K$345,11,0)&amp;""</f>
      </c>
      <c r="N146" s="4">
        <f>IF($J146='Auto Responses'!$J$11,1,IF(AND($J146="",$I146='Auto Responses'!$J$11),1,0))</f>
      </c>
      <c r="O146" s="106">
        <f>IF(OR($F$17='Auto Responses'!$J$4,$E146='Auto Responses'!$L$13,$F146="",$F146='Auto Responses'!$J$5),'Auto Responses'!$J$5,IF($J146="",$K146,IF($J146='Auto Responses'!$J$13,5,IF($J146='Auto Responses'!$J$12,10,IF($J146='Auto Responses'!$J$11,20,0)))))</f>
      </c>
      <c r="P146" s="106">
        <f>IF(OR($O146='Auto Responses'!$J$5,$L146='Auto Responses'!$J$5),'Auto Responses'!$J$5,$O146*$L146)</f>
      </c>
      <c r="Q146" s="106">
        <f t="shared" si="14"/>
      </c>
      <c r="R146" s="106">
        <f t="shared" si="19"/>
      </c>
      <c r="S146" s="106">
        <f t="shared" si="15"/>
      </c>
      <c r="T146" s="106">
        <f t="shared" si="16"/>
      </c>
      <c r="U146" s="106">
        <f t="shared" si="20"/>
      </c>
      <c r="V146" s="106">
        <f t="shared" si="17"/>
      </c>
    </row>
    <row r="147" spans="1:22" ht="60" x14ac:dyDescent="0.2">
      <c r="A147" s="4">
        <f>Questions!$A147</f>
      </c>
      <c r="B147" s="4">
        <f t="shared" si="18"/>
      </c>
      <c r="C147" s="4">
        <f>VLOOKUP($A147,Questions!$A$3:$L$333,2,0)&amp;""</f>
      </c>
      <c r="D147" s="4">
        <f>VLOOKUP($A147,Questions!$A$3:$L$333,11,0)&amp;""</f>
      </c>
      <c r="E147" s="4">
        <f>VLOOKUP($A147,Questions!$A$3:$L$333,12,0)&amp;""</f>
      </c>
      <c r="F147" s="4">
        <f>VLOOKUP($A147,'Institution Evaluation'!$A$56:$K$345,3,0)&amp;""</f>
      </c>
      <c r="G147" s="4">
        <f>VLOOKUP($A147,'Institution Evaluation'!$A$56:$K$345,7,0)&amp;""</f>
      </c>
      <c r="H147" s="4">
        <f>VLOOKUP($A147,'Institution Evaluation'!$A$56:$K$345,8,0)&amp;""</f>
      </c>
      <c r="I147" s="4">
        <f>VLOOKUP($A147,'Institution Evaluation'!$A$56:$K$345,9,0)&amp;""</f>
      </c>
      <c r="J147" s="4">
        <f>VLOOKUP($A147,'Institution Evaluation'!$A$56:$K$345,10,0)&amp;""</f>
      </c>
      <c r="K147" s="4">
        <f>IF($I147='Auto Responses'!$J$11,20,IF($I147='Auto Responses'!$J$13,5,10))</f>
      </c>
      <c r="L147" s="106">
        <f>IF(OR($E147='Auto Responses'!$L$13,$F147=""),'Auto Responses'!$J$5,IF(AND($D147='Auto Responses'!$J$27,$H147=""),'Auto Responses'!$J$5,IF(AND($D147='Auto Responses'!$J$27,$H147='Auto Responses'!$J$7),1,IF(AND($D147='Auto Responses'!$J$27,$H147='Auto Responses'!$J$8),0,IF(OR(AND($F147=$G147,$H147=""),$H147='Auto Responses'!$J$7),1,0)))))</f>
      </c>
      <c r="M147" s="4">
        <f>VLOOKUP($A147,'Institution Evaluation'!$A$56:$K$345,11,0)&amp;""</f>
      </c>
      <c r="N147" s="4">
        <f>IF($J147='Auto Responses'!$J$11,1,IF(AND($J147="",$I147='Auto Responses'!$J$11),1,0))</f>
      </c>
      <c r="O147" s="106">
        <f>IF(OR($F$17='Auto Responses'!$J$4,$E147='Auto Responses'!$L$13,$F147="",$F147='Auto Responses'!$J$5),'Auto Responses'!$J$5,IF($J147="",$K147,IF($J147='Auto Responses'!$J$13,5,IF($J147='Auto Responses'!$J$12,10,IF($J147='Auto Responses'!$J$11,20,0)))))</f>
      </c>
      <c r="P147" s="106">
        <f>IF(OR($O147='Auto Responses'!$J$5,$L147='Auto Responses'!$J$5),'Auto Responses'!$J$5,$O147*$L147)</f>
      </c>
      <c r="Q147" s="106">
        <f t="shared" si="14"/>
      </c>
      <c r="R147" s="106">
        <f t="shared" si="19"/>
      </c>
      <c r="S147" s="106">
        <f t="shared" si="15"/>
      </c>
      <c r="T147" s="106">
        <f t="shared" si="16"/>
      </c>
      <c r="U147" s="106">
        <f t="shared" si="20"/>
      </c>
      <c r="V147" s="106">
        <f t="shared" si="17"/>
      </c>
    </row>
    <row r="148" spans="1:22" ht="60" x14ac:dyDescent="0.2">
      <c r="A148" s="4">
        <f>Questions!$A148</f>
      </c>
      <c r="B148" s="4">
        <f t="shared" si="18"/>
      </c>
      <c r="C148" s="4">
        <f>VLOOKUP($A148,Questions!$A$3:$L$333,2,0)&amp;""</f>
      </c>
      <c r="D148" s="4">
        <f>VLOOKUP($A148,Questions!$A$3:$L$333,11,0)&amp;""</f>
      </c>
      <c r="E148" s="4">
        <f>VLOOKUP($A148,Questions!$A$3:$L$333,12,0)&amp;""</f>
      </c>
      <c r="F148" s="4">
        <f>VLOOKUP($A148,'Institution Evaluation'!$A$56:$K$345,3,0)&amp;""</f>
      </c>
      <c r="G148" s="4">
        <f>VLOOKUP($A148,'Institution Evaluation'!$A$56:$K$345,7,0)&amp;""</f>
      </c>
      <c r="H148" s="4">
        <f>VLOOKUP($A148,'Institution Evaluation'!$A$56:$K$345,8,0)&amp;""</f>
      </c>
      <c r="I148" s="4">
        <f>VLOOKUP($A148,'Institution Evaluation'!$A$56:$K$345,9,0)&amp;""</f>
      </c>
      <c r="J148" s="4">
        <f>VLOOKUP($A148,'Institution Evaluation'!$A$56:$K$345,10,0)&amp;""</f>
      </c>
      <c r="K148" s="4">
        <f>IF($I148='Auto Responses'!$J$11,20,IF($I148='Auto Responses'!$J$13,5,10))</f>
      </c>
      <c r="L148" s="106">
        <f>IF(OR($E148='Auto Responses'!$L$13,$F148=""),'Auto Responses'!$J$5,IF(AND($D148='Auto Responses'!$J$27,$H148=""),'Auto Responses'!$J$5,IF(AND($D148='Auto Responses'!$J$27,$H148='Auto Responses'!$J$7),1,IF(AND($D148='Auto Responses'!$J$27,$H148='Auto Responses'!$J$8),0,IF(OR(AND($F148=$G148,$H148=""),$H148='Auto Responses'!$J$7),1,0)))))</f>
      </c>
      <c r="M148" s="4">
        <f>VLOOKUP($A148,'Institution Evaluation'!$A$56:$K$345,11,0)&amp;""</f>
      </c>
      <c r="N148" s="4">
        <f>IF($J148='Auto Responses'!$J$11,1,IF(AND($J148="",$I148='Auto Responses'!$J$11),1,0))</f>
      </c>
      <c r="O148" s="106">
        <f>IF(OR($F$17='Auto Responses'!$J$4,$E148='Auto Responses'!$L$13,$F148="",$F148='Auto Responses'!$J$5),'Auto Responses'!$J$5,IF($J148="",$K148,IF($J148='Auto Responses'!$J$13,5,IF($J148='Auto Responses'!$J$12,10,IF($J148='Auto Responses'!$J$11,20,0)))))</f>
      </c>
      <c r="P148" s="106">
        <f>IF(OR($O148='Auto Responses'!$J$5,$L148='Auto Responses'!$J$5),'Auto Responses'!$J$5,$O148*$L148)</f>
      </c>
      <c r="Q148" s="106">
        <f t="shared" si="14"/>
      </c>
      <c r="R148" s="106">
        <f t="shared" si="19"/>
      </c>
      <c r="S148" s="106">
        <f t="shared" si="15"/>
      </c>
      <c r="T148" s="106">
        <f t="shared" si="16"/>
      </c>
      <c r="U148" s="106">
        <f t="shared" si="20"/>
      </c>
      <c r="V148" s="106">
        <f t="shared" si="17"/>
      </c>
    </row>
    <row r="149" spans="1:22" ht="60" x14ac:dyDescent="0.2">
      <c r="A149" s="4">
        <f>Questions!$A149</f>
      </c>
      <c r="B149" s="4">
        <f t="shared" si="18"/>
      </c>
      <c r="C149" s="4">
        <f>VLOOKUP($A149,Questions!$A$3:$L$333,2,0)&amp;""</f>
      </c>
      <c r="D149" s="4">
        <f>VLOOKUP($A149,Questions!$A$3:$L$333,11,0)&amp;""</f>
      </c>
      <c r="E149" s="4">
        <f>VLOOKUP($A149,Questions!$A$3:$L$333,12,0)&amp;""</f>
      </c>
      <c r="F149" s="4">
        <f>VLOOKUP($A149,'Institution Evaluation'!$A$56:$K$345,3,0)&amp;""</f>
      </c>
      <c r="G149" s="4">
        <f>VLOOKUP($A149,'Institution Evaluation'!$A$56:$K$345,7,0)&amp;""</f>
      </c>
      <c r="H149" s="4">
        <f>VLOOKUP($A149,'Institution Evaluation'!$A$56:$K$345,8,0)&amp;""</f>
      </c>
      <c r="I149" s="4">
        <f>VLOOKUP($A149,'Institution Evaluation'!$A$56:$K$345,9,0)&amp;""</f>
      </c>
      <c r="J149" s="4">
        <f>VLOOKUP($A149,'Institution Evaluation'!$A$56:$K$345,10,0)&amp;""</f>
      </c>
      <c r="K149" s="4">
        <f>IF($I149='Auto Responses'!$J$11,20,IF($I149='Auto Responses'!$J$13,5,10))</f>
      </c>
      <c r="L149" s="106">
        <f>IF(OR($E149='Auto Responses'!$L$13,$F149=""),'Auto Responses'!$J$5,IF(AND($D149='Auto Responses'!$J$27,$H149=""),'Auto Responses'!$J$5,IF(AND($D149='Auto Responses'!$J$27,$H149='Auto Responses'!$J$7),1,IF(AND($D149='Auto Responses'!$J$27,$H149='Auto Responses'!$J$8),0,IF(OR(AND($F149=$G149,$H149=""),$H149='Auto Responses'!$J$7),1,0)))))</f>
      </c>
      <c r="M149" s="4">
        <f>VLOOKUP($A149,'Institution Evaluation'!$A$56:$K$345,11,0)&amp;""</f>
      </c>
      <c r="N149" s="4">
        <f>IF($J149='Auto Responses'!$J$11,1,IF(AND($J149="",$I149='Auto Responses'!$J$11),1,0))</f>
      </c>
      <c r="O149" s="106">
        <f>IF(OR($F$17='Auto Responses'!$J$4,$E149='Auto Responses'!$L$13,$F149="",$F149='Auto Responses'!$J$5),'Auto Responses'!$J$5,IF($J149="",$K149,IF($J149='Auto Responses'!$J$13,5,IF($J149='Auto Responses'!$J$12,10,IF($J149='Auto Responses'!$J$11,20,0)))))</f>
      </c>
      <c r="P149" s="106">
        <f>IF(OR($O149='Auto Responses'!$J$5,$L149='Auto Responses'!$J$5),'Auto Responses'!$J$5,$O149*$L149)</f>
      </c>
      <c r="Q149" s="106">
        <f t="shared" si="14"/>
      </c>
      <c r="R149" s="106">
        <f t="shared" si="19"/>
      </c>
      <c r="S149" s="106">
        <f t="shared" si="15"/>
      </c>
      <c r="T149" s="106">
        <f t="shared" si="16"/>
      </c>
      <c r="U149" s="106">
        <f t="shared" si="20"/>
      </c>
      <c r="V149" s="106">
        <f t="shared" si="17"/>
      </c>
    </row>
    <row r="150" spans="1:22" ht="60" x14ac:dyDescent="0.2">
      <c r="A150" s="4">
        <f>Questions!$A150</f>
      </c>
      <c r="B150" s="4">
        <f t="shared" si="18"/>
      </c>
      <c r="C150" s="4">
        <f>VLOOKUP($A150,Questions!$A$3:$L$333,2,0)&amp;""</f>
      </c>
      <c r="D150" s="4">
        <f>VLOOKUP($A150,Questions!$A$3:$L$333,11,0)&amp;""</f>
      </c>
      <c r="E150" s="4">
        <f>VLOOKUP($A150,Questions!$A$3:$L$333,12,0)&amp;""</f>
      </c>
      <c r="F150" s="4">
        <f>VLOOKUP($A150,'Institution Evaluation'!$A$56:$K$345,3,0)&amp;""</f>
      </c>
      <c r="G150" s="4">
        <f>VLOOKUP($A150,'Institution Evaluation'!$A$56:$K$345,7,0)&amp;""</f>
      </c>
      <c r="H150" s="4">
        <f>VLOOKUP($A150,'Institution Evaluation'!$A$56:$K$345,8,0)&amp;""</f>
      </c>
      <c r="I150" s="4">
        <f>VLOOKUP($A150,'Institution Evaluation'!$A$56:$K$345,9,0)&amp;""</f>
      </c>
      <c r="J150" s="4">
        <f>VLOOKUP($A150,'Institution Evaluation'!$A$56:$K$345,10,0)&amp;""</f>
      </c>
      <c r="K150" s="4">
        <f>IF($I150='Auto Responses'!$J$11,20,IF($I150='Auto Responses'!$J$13,5,10))</f>
      </c>
      <c r="L150" s="106">
        <f>IF(OR($E150='Auto Responses'!$L$13,$F150=""),'Auto Responses'!$J$5,IF(AND($D150='Auto Responses'!$J$27,$H150=""),'Auto Responses'!$J$5,IF(AND($D150='Auto Responses'!$J$27,$H150='Auto Responses'!$J$7),1,IF(AND($D150='Auto Responses'!$J$27,$H150='Auto Responses'!$J$8),0,IF(OR(AND($F150=$G150,$H150=""),$H150='Auto Responses'!$J$7),1,0)))))</f>
      </c>
      <c r="M150" s="4">
        <f>VLOOKUP($A150,'Institution Evaluation'!$A$56:$K$345,11,0)&amp;""</f>
      </c>
      <c r="N150" s="4">
        <f>IF($J150='Auto Responses'!$J$11,1,IF(AND($J150="",$I150='Auto Responses'!$J$11),1,0))</f>
      </c>
      <c r="O150" s="106">
        <f>IF(OR($F$17='Auto Responses'!$J$4,$E150='Auto Responses'!$L$13,$F150="",$F150='Auto Responses'!$J$5),'Auto Responses'!$J$5,IF($J150="",$K150,IF($J150='Auto Responses'!$J$13,5,IF($J150='Auto Responses'!$J$12,10,IF($J150='Auto Responses'!$J$11,20,0)))))</f>
      </c>
      <c r="P150" s="106">
        <f>IF(OR($O150='Auto Responses'!$J$5,$L150='Auto Responses'!$J$5),'Auto Responses'!$J$5,$O150*$L150)</f>
      </c>
      <c r="Q150" s="106">
        <f t="shared" si="14"/>
      </c>
      <c r="R150" s="106">
        <f t="shared" si="19"/>
      </c>
      <c r="S150" s="106">
        <f t="shared" si="15"/>
      </c>
      <c r="T150" s="106">
        <f t="shared" si="16"/>
      </c>
      <c r="U150" s="106">
        <f t="shared" si="20"/>
      </c>
      <c r="V150" s="106">
        <f t="shared" si="17"/>
      </c>
    </row>
    <row r="151" spans="1:22" ht="60" x14ac:dyDescent="0.2">
      <c r="A151" s="4">
        <f>Questions!$A151</f>
      </c>
      <c r="B151" s="4">
        <f t="shared" si="18"/>
      </c>
      <c r="C151" s="4">
        <f>VLOOKUP($A151,Questions!$A$3:$L$333,2,0)&amp;""</f>
      </c>
      <c r="D151" s="4">
        <f>VLOOKUP($A151,Questions!$A$3:$L$333,11,0)&amp;""</f>
      </c>
      <c r="E151" s="4">
        <f>VLOOKUP($A151,Questions!$A$3:$L$333,12,0)&amp;""</f>
      </c>
      <c r="F151" s="4">
        <f>VLOOKUP($A151,'Institution Evaluation'!$A$56:$K$345,3,0)&amp;""</f>
      </c>
      <c r="G151" s="4">
        <f>VLOOKUP($A151,'Institution Evaluation'!$A$56:$K$345,7,0)&amp;""</f>
      </c>
      <c r="H151" s="4">
        <f>VLOOKUP($A151,'Institution Evaluation'!$A$56:$K$345,8,0)&amp;""</f>
      </c>
      <c r="I151" s="4">
        <f>VLOOKUP($A151,'Institution Evaluation'!$A$56:$K$345,9,0)&amp;""</f>
      </c>
      <c r="J151" s="4">
        <f>VLOOKUP($A151,'Institution Evaluation'!$A$56:$K$345,10,0)&amp;""</f>
      </c>
      <c r="K151" s="4">
        <f>IF($I151='Auto Responses'!$J$11,20,IF($I151='Auto Responses'!$J$13,5,10))</f>
      </c>
      <c r="L151" s="106">
        <f>IF($E151='Auto Responses'!$L$13, 'Auto Responses'!$J$5,IF(AND($D151='Auto Responses'!$J$27,$H151=""),'Auto Responses'!$J$5,IF(AND($D151='Auto Responses'!$J$27,$H151='Auto Responses'!$J$7),1,IF(AND($D151='Auto Responses'!$J$27,$H151='Auto Responses'!$J$8),0,IF(OR(AND($F151=$G151,$H151=""),$H151='Auto Responses'!$J$7),1,0)))))</f>
      </c>
      <c r="M151" s="4">
        <f>VLOOKUP($A151,'Institution Evaluation'!$A$56:$K$345,11,0)&amp;""</f>
      </c>
      <c r="N151" s="4">
        <f>IF($J151='Auto Responses'!$J$11,1,IF(AND($J151="",$I151='Auto Responses'!$J$11),1,0))</f>
      </c>
      <c r="O151" s="106">
        <f>IF(OR($F$17='Auto Responses'!$J$4,$E151='Auto Responses'!$L$13,$F151='Auto Responses'!$J$5),'Auto Responses'!$J$5,IF($J151="",$K151,IF($J151='Auto Responses'!$J$13,5,IF($J151='Auto Responses'!$J$12,10,IF($J151='Auto Responses'!$J$11,20,0)))))</f>
      </c>
      <c r="P151" s="106">
        <f>IF(OR($O151='Auto Responses'!$J$5,$L151='Auto Responses'!$J$5),'Auto Responses'!$J$5,$O151*$L151)</f>
      </c>
      <c r="Q151" s="106">
        <f t="shared" si="14"/>
      </c>
      <c r="R151" s="106">
        <f t="shared" si="19"/>
      </c>
      <c r="S151" s="106">
        <f t="shared" si="15"/>
      </c>
      <c r="T151" s="106">
        <f t="shared" si="16"/>
      </c>
      <c r="U151" s="106">
        <f t="shared" si="20"/>
      </c>
      <c r="V151" s="106">
        <f t="shared" si="17"/>
      </c>
    </row>
    <row r="152" spans="1:22" ht="60" x14ac:dyDescent="0.2">
      <c r="A152" s="4">
        <f>Questions!$A152</f>
      </c>
      <c r="B152" s="4">
        <f t="shared" si="18"/>
      </c>
      <c r="C152" s="4">
        <f>VLOOKUP($A152,Questions!$A$3:$L$333,2,0)&amp;""</f>
      </c>
      <c r="D152" s="4">
        <f>VLOOKUP($A152,Questions!$A$3:$L$333,11,0)&amp;""</f>
      </c>
      <c r="E152" s="4">
        <f>VLOOKUP($A152,Questions!$A$3:$L$333,12,0)&amp;""</f>
      </c>
      <c r="F152" s="4">
        <f>VLOOKUP($A152,'Institution Evaluation'!$A$56:$K$345,3,0)&amp;""</f>
      </c>
      <c r="G152" s="4">
        <f>VLOOKUP($A152,'Institution Evaluation'!$A$56:$K$345,7,0)&amp;""</f>
      </c>
      <c r="H152" s="4">
        <f>VLOOKUP($A152,'Institution Evaluation'!$A$56:$K$345,8,0)&amp;""</f>
      </c>
      <c r="I152" s="4">
        <f>VLOOKUP($A152,'Institution Evaluation'!$A$56:$K$345,9,0)&amp;""</f>
      </c>
      <c r="J152" s="4">
        <f>VLOOKUP($A152,'Institution Evaluation'!$A$56:$K$345,10,0)&amp;""</f>
      </c>
      <c r="K152" s="4">
        <f>IF($I152='Auto Responses'!$J$11,20,IF($I152='Auto Responses'!$J$13,5,10))</f>
      </c>
      <c r="L152" s="106">
        <f>IF($E152='Auto Responses'!$L$13, 'Auto Responses'!$J$5,IF(AND($D152='Auto Responses'!$J$27,$H152=""),'Auto Responses'!$J$5,IF(AND($D152='Auto Responses'!$J$27,$H152='Auto Responses'!$J$7),1,IF(AND($D152='Auto Responses'!$J$27,$H152='Auto Responses'!$J$8),0,IF(OR(AND($F152=$G152,$H152=""),$H152='Auto Responses'!$J$7),1,0)))))</f>
      </c>
      <c r="M152" s="4">
        <f>VLOOKUP($A152,'Institution Evaluation'!$A$56:$K$345,11,0)&amp;""</f>
      </c>
      <c r="N152" s="4">
        <f>IF($J152='Auto Responses'!$J$11,1,IF(AND($J152="",$I152='Auto Responses'!$J$11),1,0))</f>
      </c>
      <c r="O152" s="106">
        <f>IF(OR($F$17='Auto Responses'!$J$4,$E152='Auto Responses'!$L$13,$F152='Auto Responses'!$J$5),'Auto Responses'!$J$5,IF($J152="",$K152,IF($J152='Auto Responses'!$J$13,5,IF($J152='Auto Responses'!$J$12,10,IF($J152='Auto Responses'!$J$11,20,0)))))</f>
      </c>
      <c r="P152" s="106">
        <f>IF(OR($O152='Auto Responses'!$J$5,$L152='Auto Responses'!$J$5),'Auto Responses'!$J$5,$O152*$L152)</f>
      </c>
      <c r="Q152" s="106">
        <f t="shared" si="14"/>
      </c>
      <c r="R152" s="106">
        <f t="shared" si="19"/>
      </c>
      <c r="S152" s="106">
        <f t="shared" si="15"/>
      </c>
      <c r="T152" s="106">
        <f t="shared" si="16"/>
      </c>
      <c r="U152" s="106">
        <f t="shared" si="20"/>
      </c>
      <c r="V152" s="106">
        <f t="shared" si="17"/>
      </c>
    </row>
    <row r="153" spans="1:22" ht="60" x14ac:dyDescent="0.2">
      <c r="A153" s="4">
        <f>Questions!$A153</f>
      </c>
      <c r="B153" s="4">
        <f t="shared" si="18"/>
      </c>
      <c r="C153" s="4">
        <f>VLOOKUP($A153,Questions!$A$3:$L$333,2,0)&amp;""</f>
      </c>
      <c r="D153" s="4">
        <f>VLOOKUP($A153,Questions!$A$3:$L$333,11,0)&amp;""</f>
      </c>
      <c r="E153" s="4">
        <f>VLOOKUP($A153,Questions!$A$3:$L$333,12,0)&amp;""</f>
      </c>
      <c r="F153" s="4">
        <f>VLOOKUP($A153,'Institution Evaluation'!$A$56:$K$345,3,0)&amp;""</f>
      </c>
      <c r="G153" s="4">
        <f>VLOOKUP($A153,'Institution Evaluation'!$A$56:$K$345,7,0)&amp;""</f>
      </c>
      <c r="H153" s="4">
        <f>VLOOKUP($A153,'Institution Evaluation'!$A$56:$K$345,8,0)&amp;""</f>
      </c>
      <c r="I153" s="4">
        <f>VLOOKUP($A153,'Institution Evaluation'!$A$56:$K$345,9,0)&amp;""</f>
      </c>
      <c r="J153" s="4">
        <f>VLOOKUP($A153,'Institution Evaluation'!$A$56:$K$345,10,0)&amp;""</f>
      </c>
      <c r="K153" s="4">
        <f>IF($I153='Auto Responses'!$J$11,20,IF($I153='Auto Responses'!$J$13,5,10))</f>
      </c>
      <c r="L153" s="106">
        <f>IF($E153='Auto Responses'!$L$13, 'Auto Responses'!$J$5,IF(AND($D153='Auto Responses'!$J$27,$H153=""),'Auto Responses'!$J$5,IF(AND($D153='Auto Responses'!$J$27,$H153='Auto Responses'!$J$7),1,IF(AND($D153='Auto Responses'!$J$27,$H153='Auto Responses'!$J$8),0,IF(OR(AND($F153=$G153,$H153=""),$H153='Auto Responses'!$J$7),1,0)))))</f>
      </c>
      <c r="M153" s="4">
        <f>VLOOKUP($A153,'Institution Evaluation'!$A$56:$K$345,11,0)&amp;""</f>
      </c>
      <c r="N153" s="4">
        <f>IF($J153='Auto Responses'!$J$11,1,IF(AND($J153="",$I153='Auto Responses'!$J$11),1,0))</f>
      </c>
      <c r="O153" s="106">
        <f>IF(OR($F$17='Auto Responses'!$J$4,$E153='Auto Responses'!$L$13,$F153='Auto Responses'!$J$5),'Auto Responses'!$J$5,IF($J153="",$K153,IF($J153='Auto Responses'!$J$13,5,IF($J153='Auto Responses'!$J$12,10,IF($J153='Auto Responses'!$J$11,20,0)))))</f>
      </c>
      <c r="P153" s="106">
        <f>IF(OR($O153='Auto Responses'!$J$5,$L153='Auto Responses'!$J$5),'Auto Responses'!$J$5,$O153*$L153)</f>
      </c>
      <c r="Q153" s="106">
        <f t="shared" si="14"/>
      </c>
      <c r="R153" s="106">
        <f t="shared" si="19"/>
      </c>
      <c r="S153" s="106">
        <f t="shared" si="15"/>
      </c>
      <c r="T153" s="106">
        <f t="shared" si="16"/>
      </c>
      <c r="U153" s="106">
        <f t="shared" si="20"/>
      </c>
      <c r="V153" s="106">
        <f t="shared" si="17"/>
      </c>
    </row>
    <row r="154" spans="1:22" ht="60" x14ac:dyDescent="0.2">
      <c r="A154" s="4">
        <f>Questions!$A154</f>
      </c>
      <c r="B154" s="4">
        <f t="shared" si="18"/>
      </c>
      <c r="C154" s="4">
        <f>VLOOKUP($A154,Questions!$A$3:$L$333,2,0)&amp;""</f>
      </c>
      <c r="D154" s="4">
        <f>VLOOKUP($A154,Questions!$A$3:$L$333,11,0)&amp;""</f>
      </c>
      <c r="E154" s="4">
        <f>VLOOKUP($A154,Questions!$A$3:$L$333,12,0)&amp;""</f>
      </c>
      <c r="F154" s="4">
        <f>VLOOKUP($A154,'Institution Evaluation'!$A$56:$K$345,3,0)&amp;""</f>
      </c>
      <c r="G154" s="4">
        <f>VLOOKUP($A154,'Institution Evaluation'!$A$56:$K$345,7,0)&amp;""</f>
      </c>
      <c r="H154" s="4">
        <f>VLOOKUP($A154,'Institution Evaluation'!$A$56:$K$345,8,0)&amp;""</f>
      </c>
      <c r="I154" s="4">
        <f>VLOOKUP($A154,'Institution Evaluation'!$A$56:$K$345,9,0)&amp;""</f>
      </c>
      <c r="J154" s="4">
        <f>VLOOKUP($A154,'Institution Evaluation'!$A$56:$K$345,10,0)&amp;""</f>
      </c>
      <c r="K154" s="4">
        <f>IF($I154='Auto Responses'!$J$11,20,IF($I154='Auto Responses'!$J$13,5,10))</f>
      </c>
      <c r="L154" s="106">
        <f>IF($E154='Auto Responses'!$L$13, 'Auto Responses'!$J$5,IF(AND($D154='Auto Responses'!$J$27,$H154=""),'Auto Responses'!$J$5,IF(AND($D154='Auto Responses'!$J$27,$H154='Auto Responses'!$J$7),1,IF(AND($D154='Auto Responses'!$J$27,$H154='Auto Responses'!$J$8),0,IF(OR(AND($F154=$G154,$H154=""),$H154='Auto Responses'!$J$7),1,0)))))</f>
      </c>
      <c r="M154" s="4">
        <f>VLOOKUP($A154,'Institution Evaluation'!$A$56:$K$345,11,0)&amp;""</f>
      </c>
      <c r="N154" s="4">
        <f>IF($J154='Auto Responses'!$J$11,1,IF(AND($J154="",$I154='Auto Responses'!$J$11),1,0))</f>
      </c>
      <c r="O154" s="106">
        <f>IF(OR($F$17='Auto Responses'!$J$4,$E154='Auto Responses'!$L$13,$F154='Auto Responses'!$J$5),'Auto Responses'!$J$5,IF($J154="",$K154,IF($J154='Auto Responses'!$J$13,5,IF($J154='Auto Responses'!$J$12,10,IF($J154='Auto Responses'!$J$11,20,0)))))</f>
      </c>
      <c r="P154" s="106">
        <f>IF(OR($O154='Auto Responses'!$J$5,$L154='Auto Responses'!$J$5),'Auto Responses'!$J$5,$O154*$L154)</f>
      </c>
      <c r="Q154" s="106">
        <f t="shared" si="14"/>
      </c>
      <c r="R154" s="106">
        <f t="shared" si="19"/>
      </c>
      <c r="S154" s="106">
        <f t="shared" si="15"/>
      </c>
      <c r="T154" s="106">
        <f t="shared" si="16"/>
      </c>
      <c r="U154" s="106">
        <f t="shared" si="20"/>
      </c>
      <c r="V154" s="106">
        <f t="shared" si="17"/>
      </c>
    </row>
    <row r="155" spans="1:22" ht="60" x14ac:dyDescent="0.2">
      <c r="A155" s="4">
        <f>Questions!$A155</f>
      </c>
      <c r="B155" s="4">
        <f t="shared" si="18"/>
      </c>
      <c r="C155" s="4">
        <f>VLOOKUP($A155,Questions!$A$3:$L$333,2,0)&amp;""</f>
      </c>
      <c r="D155" s="4">
        <f>VLOOKUP($A155,Questions!$A$3:$L$333,11,0)&amp;""</f>
      </c>
      <c r="E155" s="4">
        <f>VLOOKUP($A155,Questions!$A$3:$L$333,12,0)&amp;""</f>
      </c>
      <c r="F155" s="4">
        <f>VLOOKUP($A155,'Institution Evaluation'!$A$56:$K$345,3,0)&amp;""</f>
      </c>
      <c r="G155" s="4">
        <f>VLOOKUP($A155,'Institution Evaluation'!$A$56:$K$345,7,0)&amp;""</f>
      </c>
      <c r="H155" s="4">
        <f>VLOOKUP($A155,'Institution Evaluation'!$A$56:$K$345,8,0)&amp;""</f>
      </c>
      <c r="I155" s="4">
        <f>VLOOKUP($A155,'Institution Evaluation'!$A$56:$K$345,9,0)&amp;""</f>
      </c>
      <c r="J155" s="4">
        <f>VLOOKUP($A155,'Institution Evaluation'!$A$56:$K$345,10,0)&amp;""</f>
      </c>
      <c r="K155" s="4">
        <f>IF($I155='Auto Responses'!$J$11,20,IF($I155='Auto Responses'!$J$13,5,10))</f>
      </c>
      <c r="L155" s="106">
        <f>IF($E155='Auto Responses'!$L$13, 'Auto Responses'!$J$5,IF(AND($D155='Auto Responses'!$J$27,$H155=""),'Auto Responses'!$J$5,IF(AND($D155='Auto Responses'!$J$27,$H155='Auto Responses'!$J$7),1,IF(AND($D155='Auto Responses'!$J$27,$H155='Auto Responses'!$J$8),0,IF(OR(AND($F155=$G155,$H155=""),$H155='Auto Responses'!$J$7),1,0)))))</f>
      </c>
      <c r="M155" s="4">
        <f>VLOOKUP($A155,'Institution Evaluation'!$A$56:$K$345,11,0)&amp;""</f>
      </c>
      <c r="N155" s="4">
        <f>IF($J155='Auto Responses'!$J$11,1,IF(AND($J155="",$I155='Auto Responses'!$J$11),1,0))</f>
      </c>
      <c r="O155" s="106">
        <f>IF(OR($F$17='Auto Responses'!$J$4,$E155='Auto Responses'!$L$13,$F155='Auto Responses'!$J$5),'Auto Responses'!$J$5,IF($J155="",$K155,IF($J155='Auto Responses'!$J$13,5,IF($J155='Auto Responses'!$J$12,10,IF($J155='Auto Responses'!$J$11,20,0)))))</f>
      </c>
      <c r="P155" s="106">
        <f>IF(OR($O155='Auto Responses'!$J$5,$L155='Auto Responses'!$J$5),'Auto Responses'!$J$5,$O155*$L155)</f>
      </c>
      <c r="Q155" s="106">
        <f t="shared" si="14"/>
      </c>
      <c r="R155" s="106">
        <f t="shared" si="19"/>
      </c>
      <c r="S155" s="106">
        <f t="shared" si="15"/>
      </c>
      <c r="T155" s="106">
        <f t="shared" si="16"/>
      </c>
      <c r="U155" s="106">
        <f t="shared" si="20"/>
      </c>
      <c r="V155" s="106">
        <f t="shared" si="17"/>
      </c>
    </row>
    <row r="156" spans="1:22" ht="60" x14ac:dyDescent="0.2">
      <c r="A156" s="4">
        <f>Questions!$A156</f>
      </c>
      <c r="B156" s="4">
        <f t="shared" si="18"/>
      </c>
      <c r="C156" s="4">
        <f>VLOOKUP($A156,Questions!$A$3:$L$333,2,0)&amp;""</f>
      </c>
      <c r="D156" s="4">
        <f>VLOOKUP($A156,Questions!$A$3:$L$333,11,0)&amp;""</f>
      </c>
      <c r="E156" s="4">
        <f>VLOOKUP($A156,Questions!$A$3:$L$333,12,0)&amp;""</f>
      </c>
      <c r="F156" s="4">
        <f>VLOOKUP($A156,'Institution Evaluation'!$A$56:$K$345,3,0)&amp;""</f>
      </c>
      <c r="G156" s="4">
        <f>VLOOKUP($A156,'Institution Evaluation'!$A$56:$K$345,7,0)&amp;""</f>
      </c>
      <c r="H156" s="4">
        <f>VLOOKUP($A156,'Institution Evaluation'!$A$56:$K$345,8,0)&amp;""</f>
      </c>
      <c r="I156" s="4">
        <f>VLOOKUP($A156,'Institution Evaluation'!$A$56:$K$345,9,0)&amp;""</f>
      </c>
      <c r="J156" s="4">
        <f>VLOOKUP($A156,'Institution Evaluation'!$A$56:$K$345,10,0)&amp;""</f>
      </c>
      <c r="K156" s="4">
        <f>IF($I156='Auto Responses'!$J$11,20,IF($I156='Auto Responses'!$J$13,5,10))</f>
      </c>
      <c r="L156" s="106">
        <f>IF($E156='Auto Responses'!$L$13, 'Auto Responses'!$J$5,IF(AND($D156='Auto Responses'!$J$27,$H156=""),'Auto Responses'!$J$5,IF(AND($D156='Auto Responses'!$J$27,$H156='Auto Responses'!$J$7),1,IF(AND($D156='Auto Responses'!$J$27,$H156='Auto Responses'!$J$8),0,IF(OR(AND($F156=$G156,$H156=""),$H156='Auto Responses'!$J$7),1,0)))))</f>
      </c>
      <c r="M156" s="4">
        <f>VLOOKUP($A156,'Institution Evaluation'!$A$56:$K$345,11,0)&amp;""</f>
      </c>
      <c r="N156" s="4">
        <f>IF($J156='Auto Responses'!$J$11,1,IF(AND($J156="",$I156='Auto Responses'!$J$11),1,0))</f>
      </c>
      <c r="O156" s="106">
        <f>IF(OR($F$17='Auto Responses'!$J$4,$E156='Auto Responses'!$L$13,$F156='Auto Responses'!$J$5),'Auto Responses'!$J$5,IF($J156="",$K156,IF($J156='Auto Responses'!$J$13,5,IF($J156='Auto Responses'!$J$12,10,IF($J156='Auto Responses'!$J$11,20,0)))))</f>
      </c>
      <c r="P156" s="106">
        <f>IF(OR($O156='Auto Responses'!$J$5,$L156='Auto Responses'!$J$5),'Auto Responses'!$J$5,$O156*$L156)</f>
      </c>
      <c r="Q156" s="106">
        <f t="shared" si="14"/>
      </c>
      <c r="R156" s="106">
        <f t="shared" si="19"/>
      </c>
      <c r="S156" s="106">
        <f t="shared" si="15"/>
      </c>
      <c r="T156" s="106">
        <f t="shared" si="16"/>
      </c>
      <c r="U156" s="106">
        <f t="shared" si="20"/>
      </c>
      <c r="V156" s="106">
        <f t="shared" si="17"/>
      </c>
    </row>
    <row r="157" spans="1:22" ht="60" x14ac:dyDescent="0.2">
      <c r="A157" s="4">
        <f>Questions!$A157</f>
      </c>
      <c r="B157" s="4">
        <f t="shared" si="18"/>
      </c>
      <c r="C157" s="4">
        <f>VLOOKUP($A157,Questions!$A$3:$L$333,2,0)&amp;""</f>
      </c>
      <c r="D157" s="4">
        <f>VLOOKUP($A157,Questions!$A$3:$L$333,11,0)&amp;""</f>
      </c>
      <c r="E157" s="4">
        <f>VLOOKUP($A157,Questions!$A$3:$L$333,12,0)&amp;""</f>
      </c>
      <c r="F157" s="4">
        <f>VLOOKUP($A157,'Institution Evaluation'!$A$56:$K$345,3,0)&amp;""</f>
      </c>
      <c r="G157" s="4">
        <f>VLOOKUP($A157,'Institution Evaluation'!$A$56:$K$345,7,0)&amp;""</f>
      </c>
      <c r="H157" s="4">
        <f>VLOOKUP($A157,'Institution Evaluation'!$A$56:$K$345,8,0)&amp;""</f>
      </c>
      <c r="I157" s="4">
        <f>VLOOKUP($A157,'Institution Evaluation'!$A$56:$K$345,9,0)&amp;""</f>
      </c>
      <c r="J157" s="4">
        <f>VLOOKUP($A157,'Institution Evaluation'!$A$56:$K$345,10,0)&amp;""</f>
      </c>
      <c r="K157" s="4">
        <f>IF($I157='Auto Responses'!$J$11,20,IF($I157='Auto Responses'!$J$13,5,10))</f>
      </c>
      <c r="L157" s="106">
        <f>IF($E157='Auto Responses'!$L$13, 'Auto Responses'!$J$5,IF(AND($D157='Auto Responses'!$J$27,$H157=""),'Auto Responses'!$J$5,IF(AND($D157='Auto Responses'!$J$27,$H157='Auto Responses'!$J$7),1,IF(AND($D157='Auto Responses'!$J$27,$H157='Auto Responses'!$J$8),0,IF(OR(AND($F157=$G157,$H157=""),$H157='Auto Responses'!$J$7),1,0)))))</f>
      </c>
      <c r="M157" s="4">
        <f>VLOOKUP($A157,'Institution Evaluation'!$A$56:$K$345,11,0)&amp;""</f>
      </c>
      <c r="N157" s="4">
        <f>IF($J157='Auto Responses'!$J$11,1,IF(AND($J157="",$I157='Auto Responses'!$J$11),1,0))</f>
      </c>
      <c r="O157" s="106">
        <f>IF(OR($F$17='Auto Responses'!$J$4,$E157='Auto Responses'!$L$13,$F157='Auto Responses'!$J$5),'Auto Responses'!$J$5,IF($J157="",$K157,IF($J157='Auto Responses'!$J$13,5,IF($J157='Auto Responses'!$J$12,10,IF($J157='Auto Responses'!$J$11,20,0)))))</f>
      </c>
      <c r="P157" s="106">
        <f>IF(OR($O157='Auto Responses'!$J$5,$L157='Auto Responses'!$J$5),'Auto Responses'!$J$5,$O157*$L157)</f>
      </c>
      <c r="Q157" s="106">
        <f t="shared" si="14"/>
      </c>
      <c r="R157" s="106">
        <f t="shared" si="19"/>
      </c>
      <c r="S157" s="106">
        <f t="shared" si="15"/>
      </c>
      <c r="T157" s="106">
        <f t="shared" si="16"/>
      </c>
      <c r="U157" s="106">
        <f t="shared" si="20"/>
      </c>
      <c r="V157" s="106">
        <f t="shared" si="17"/>
      </c>
    </row>
    <row r="158" spans="1:22" ht="60" x14ac:dyDescent="0.2">
      <c r="A158" s="4">
        <f>Questions!$A158</f>
      </c>
      <c r="B158" s="4">
        <f t="shared" si="18"/>
      </c>
      <c r="C158" s="4">
        <f>VLOOKUP($A158,Questions!$A$3:$L$333,2,0)&amp;""</f>
      </c>
      <c r="D158" s="4">
        <f>VLOOKUP($A158,Questions!$A$3:$L$333,11,0)&amp;""</f>
      </c>
      <c r="E158" s="4">
        <f>VLOOKUP($A158,Questions!$A$3:$L$333,12,0)&amp;""</f>
      </c>
      <c r="F158" s="4">
        <f>VLOOKUP($A158,'Institution Evaluation'!$A$56:$K$345,3,0)&amp;""</f>
      </c>
      <c r="G158" s="4">
        <f>VLOOKUP($A158,'Institution Evaluation'!$A$56:$K$345,7,0)&amp;""</f>
      </c>
      <c r="H158" s="4">
        <f>VLOOKUP($A158,'Institution Evaluation'!$A$56:$K$345,8,0)&amp;""</f>
      </c>
      <c r="I158" s="4">
        <f>VLOOKUP($A158,'Institution Evaluation'!$A$56:$K$345,9,0)&amp;""</f>
      </c>
      <c r="J158" s="4">
        <f>VLOOKUP($A158,'Institution Evaluation'!$A$56:$K$345,10,0)&amp;""</f>
      </c>
      <c r="K158" s="4">
        <f>IF($I158='Auto Responses'!$J$11,20,IF($I158='Auto Responses'!$J$13,5,10))</f>
      </c>
      <c r="L158" s="106">
        <f>IF($E158='Auto Responses'!$L$13, 'Auto Responses'!$J$5,IF(AND($D158='Auto Responses'!$J$27,$H158=""),'Auto Responses'!$J$5,IF(AND($D158='Auto Responses'!$J$27,$H158='Auto Responses'!$J$7),1,IF(AND($D158='Auto Responses'!$J$27,$H158='Auto Responses'!$J$8),0,IF(OR(AND($F158=$G158,$H158=""),$H158='Auto Responses'!$J$7),1,0)))))</f>
      </c>
      <c r="M158" s="4">
        <f>VLOOKUP($A158,'Institution Evaluation'!$A$56:$K$345,11,0)&amp;""</f>
      </c>
      <c r="N158" s="4">
        <f>IF($J158='Auto Responses'!$J$11,1,IF(AND($J158="",$I158='Auto Responses'!$J$11),1,0))</f>
      </c>
      <c r="O158" s="106">
        <f>IF(OR($F$17='Auto Responses'!$J$4,$E158='Auto Responses'!$L$13,$F158='Auto Responses'!$J$5),'Auto Responses'!$J$5,IF($J158="",$K158,IF($J158='Auto Responses'!$J$13,5,IF($J158='Auto Responses'!$J$12,10,IF($J158='Auto Responses'!$J$11,20,0)))))</f>
      </c>
      <c r="P158" s="106">
        <f>IF(OR($O158='Auto Responses'!$J$5,$L158='Auto Responses'!$J$5),'Auto Responses'!$J$5,$O158*$L158)</f>
      </c>
      <c r="Q158" s="106">
        <f t="shared" si="14"/>
      </c>
      <c r="R158" s="106">
        <f t="shared" si="19"/>
      </c>
      <c r="S158" s="106">
        <f t="shared" si="15"/>
      </c>
      <c r="T158" s="106">
        <f t="shared" si="16"/>
      </c>
      <c r="U158" s="106">
        <f t="shared" si="20"/>
      </c>
      <c r="V158" s="106">
        <f t="shared" si="17"/>
      </c>
    </row>
    <row r="159" spans="1:22" ht="60" x14ac:dyDescent="0.2">
      <c r="A159" s="4">
        <f>Questions!$A159</f>
      </c>
      <c r="B159" s="4">
        <f t="shared" si="18"/>
      </c>
      <c r="C159" s="4">
        <f>VLOOKUP($A159,Questions!$A$3:$L$333,2,0)&amp;""</f>
      </c>
      <c r="D159" s="4">
        <f>VLOOKUP($A159,Questions!$A$3:$L$333,11,0)&amp;""</f>
      </c>
      <c r="E159" s="4">
        <f>VLOOKUP($A159,Questions!$A$3:$L$333,12,0)&amp;""</f>
      </c>
      <c r="F159" s="4">
        <f>VLOOKUP($A159,'Institution Evaluation'!$A$56:$K$345,3,0)&amp;""</f>
      </c>
      <c r="G159" s="4">
        <f>VLOOKUP($A159,'Institution Evaluation'!$A$56:$K$345,7,0)&amp;""</f>
      </c>
      <c r="H159" s="4">
        <f>VLOOKUP($A159,'Institution Evaluation'!$A$56:$K$345,8,0)&amp;""</f>
      </c>
      <c r="I159" s="4">
        <f>VLOOKUP($A159,'Institution Evaluation'!$A$56:$K$345,9,0)&amp;""</f>
      </c>
      <c r="J159" s="4">
        <f>VLOOKUP($A159,'Institution Evaluation'!$A$56:$K$345,10,0)&amp;""</f>
      </c>
      <c r="K159" s="4">
        <f>IF($I159='Auto Responses'!$J$11,20,IF($I159='Auto Responses'!$J$13,5,10))</f>
      </c>
      <c r="L159" s="106">
        <f>IF($E159='Auto Responses'!$L$13, 'Auto Responses'!$J$5,IF(AND($D159='Auto Responses'!$J$27,$H159=""),'Auto Responses'!$J$5,IF(AND($D159='Auto Responses'!$J$27,$H159='Auto Responses'!$J$7),1,IF(AND($D159='Auto Responses'!$J$27,$H159='Auto Responses'!$J$8),0,IF(OR(AND($F159=$G159,$H159=""),$H159='Auto Responses'!$J$7),1,0)))))</f>
      </c>
      <c r="M159" s="4">
        <f>VLOOKUP($A159,'Institution Evaluation'!$A$56:$K$345,11,0)&amp;""</f>
      </c>
      <c r="N159" s="4">
        <f>IF($J159='Auto Responses'!$J$11,1,IF(AND($J159="",$I159='Auto Responses'!$J$11),1,0))</f>
      </c>
      <c r="O159" s="106">
        <f>IF(OR($F$17='Auto Responses'!$J$4,$E159='Auto Responses'!$L$13,$F159='Auto Responses'!$J$5),'Auto Responses'!$J$5,IF($J159="",$K159,IF($J159='Auto Responses'!$J$13,5,IF($J159='Auto Responses'!$J$12,10,IF($J159='Auto Responses'!$J$11,20,0)))))</f>
      </c>
      <c r="P159" s="106">
        <f>IF(OR($O159='Auto Responses'!$J$5,$L159='Auto Responses'!$J$5),'Auto Responses'!$J$5,$O159*$L159)</f>
      </c>
      <c r="Q159" s="106">
        <f t="shared" si="14"/>
      </c>
      <c r="R159" s="106">
        <f t="shared" si="19"/>
      </c>
      <c r="S159" s="106">
        <f t="shared" si="15"/>
      </c>
      <c r="T159" s="106">
        <f t="shared" si="16"/>
      </c>
      <c r="U159" s="106">
        <f t="shared" si="20"/>
      </c>
      <c r="V159" s="106">
        <f t="shared" si="17"/>
      </c>
    </row>
    <row r="160" spans="1:22" ht="60" x14ac:dyDescent="0.2">
      <c r="A160" s="4">
        <f>Questions!$A160</f>
      </c>
      <c r="B160" s="4">
        <f t="shared" si="18"/>
      </c>
      <c r="C160" s="4">
        <f>VLOOKUP($A160,Questions!$A$3:$L$333,2,0)&amp;""</f>
      </c>
      <c r="D160" s="4">
        <f>VLOOKUP($A160,Questions!$A$3:$L$333,11,0)&amp;""</f>
      </c>
      <c r="E160" s="4">
        <f>VLOOKUP($A160,Questions!$A$3:$L$333,12,0)&amp;""</f>
      </c>
      <c r="F160" s="4">
        <f>VLOOKUP($A160,'Institution Evaluation'!$A$56:$K$345,3,0)&amp;""</f>
      </c>
      <c r="G160" s="4">
        <f>VLOOKUP($A160,'Institution Evaluation'!$A$56:$K$345,7,0)&amp;""</f>
      </c>
      <c r="H160" s="4">
        <f>VLOOKUP($A160,'Institution Evaluation'!$A$56:$K$345,8,0)&amp;""</f>
      </c>
      <c r="I160" s="4">
        <f>VLOOKUP($A160,'Institution Evaluation'!$A$56:$K$345,9,0)&amp;""</f>
      </c>
      <c r="J160" s="4">
        <f>VLOOKUP($A160,'Institution Evaluation'!$A$56:$K$345,10,0)&amp;""</f>
      </c>
      <c r="K160" s="4">
        <f>IF($I160='Auto Responses'!$J$11,20,IF($I160='Auto Responses'!$J$13,5,10))</f>
      </c>
      <c r="L160" s="106">
        <f>IF($E160='Auto Responses'!$L$13, 'Auto Responses'!$J$5,IF(AND($D160='Auto Responses'!$J$27,$H160=""),'Auto Responses'!$J$5,IF(AND($D160='Auto Responses'!$J$27,$H160='Auto Responses'!$J$7),1,IF(AND($D160='Auto Responses'!$J$27,$H160='Auto Responses'!$J$8),0,IF(OR(AND($F160=$G160,$H160=""),$H160='Auto Responses'!$J$7),1,0)))))</f>
      </c>
      <c r="M160" s="4">
        <f>VLOOKUP($A160,'Institution Evaluation'!$A$56:$K$345,11,0)&amp;""</f>
      </c>
      <c r="N160" s="4">
        <f>IF($J160='Auto Responses'!$J$11,1,IF(AND($J160="",$I160='Auto Responses'!$J$11),1,0))</f>
      </c>
      <c r="O160" s="106">
        <f>IF(OR($F$17='Auto Responses'!$J$4,$E160='Auto Responses'!$L$13,$F160='Auto Responses'!$J$5),'Auto Responses'!$J$5,IF($J160="",$K160,IF($J160='Auto Responses'!$J$13,5,IF($J160='Auto Responses'!$J$12,10,IF($J160='Auto Responses'!$J$11,20,0)))))</f>
      </c>
      <c r="P160" s="106">
        <f>IF(OR($O160='Auto Responses'!$J$5,$L160='Auto Responses'!$J$5),'Auto Responses'!$J$5,$O160*$L160)</f>
      </c>
      <c r="Q160" s="106">
        <f t="shared" si="14"/>
      </c>
      <c r="R160" s="106">
        <f t="shared" si="19"/>
      </c>
      <c r="S160" s="106">
        <f t="shared" si="15"/>
      </c>
      <c r="T160" s="106">
        <f t="shared" si="16"/>
      </c>
      <c r="U160" s="106">
        <f t="shared" si="20"/>
      </c>
      <c r="V160" s="106">
        <f t="shared" si="17"/>
      </c>
    </row>
    <row r="161" spans="1:22" ht="60" x14ac:dyDescent="0.2">
      <c r="A161" s="4">
        <f>Questions!$A161</f>
      </c>
      <c r="B161" s="4">
        <f t="shared" si="18"/>
      </c>
      <c r="C161" s="4">
        <f>VLOOKUP($A161,Questions!$A$3:$L$333,2,0)&amp;""</f>
      </c>
      <c r="D161" s="4">
        <f>VLOOKUP($A161,Questions!$A$3:$L$333,11,0)&amp;""</f>
      </c>
      <c r="E161" s="4">
        <f>VLOOKUP($A161,Questions!$A$3:$L$333,12,0)&amp;""</f>
      </c>
      <c r="F161" s="4">
        <f>VLOOKUP($A161,'Institution Evaluation'!$A$56:$K$345,3,0)&amp;""</f>
      </c>
      <c r="G161" s="4">
        <f>VLOOKUP($A161,'Institution Evaluation'!$A$56:$K$345,7,0)&amp;""</f>
      </c>
      <c r="H161" s="4">
        <f>VLOOKUP($A161,'Institution Evaluation'!$A$56:$K$345,8,0)&amp;""</f>
      </c>
      <c r="I161" s="4">
        <f>VLOOKUP($A161,'Institution Evaluation'!$A$56:$K$345,9,0)&amp;""</f>
      </c>
      <c r="J161" s="4">
        <f>VLOOKUP($A161,'Institution Evaluation'!$A$56:$K$345,10,0)&amp;""</f>
      </c>
      <c r="K161" s="4">
        <f>IF($I161='Auto Responses'!$J$11,20,IF($I161='Auto Responses'!$J$13,5,10))</f>
      </c>
      <c r="L161" s="106">
        <f>IF($E161='Auto Responses'!$L$13, 'Auto Responses'!$J$5,IF(AND($D161='Auto Responses'!$J$27,$H161=""),'Auto Responses'!$J$5,IF(AND($D161='Auto Responses'!$J$27,$H161='Auto Responses'!$J$7),1,IF(AND($D161='Auto Responses'!$J$27,$H161='Auto Responses'!$J$8),0,IF(OR(AND($F161=$G161,$H161=""),$H161='Auto Responses'!$J$7),1,0)))))</f>
      </c>
      <c r="M161" s="4">
        <f>VLOOKUP($A161,'Institution Evaluation'!$A$56:$K$345,11,0)&amp;""</f>
      </c>
      <c r="N161" s="4">
        <f>IF($J161='Auto Responses'!$J$11,1,IF(AND($J161="",$I161='Auto Responses'!$J$11),1,0))</f>
      </c>
      <c r="O161" s="106">
        <f>IF(OR($F$17='Auto Responses'!$J$4,$E161='Auto Responses'!$L$13,$F161='Auto Responses'!$J$5),'Auto Responses'!$J$5,IF($J161="",$K161,IF($J161='Auto Responses'!$J$13,5,IF($J161='Auto Responses'!$J$12,10,IF($J161='Auto Responses'!$J$11,20,0)))))</f>
      </c>
      <c r="P161" s="106">
        <f>IF(OR($O161='Auto Responses'!$J$5,$L161='Auto Responses'!$J$5),'Auto Responses'!$J$5,$O161*$L161)</f>
      </c>
      <c r="Q161" s="106">
        <f t="shared" si="14"/>
      </c>
      <c r="R161" s="106">
        <f t="shared" si="19"/>
      </c>
      <c r="S161" s="106">
        <f t="shared" si="15"/>
      </c>
      <c r="T161" s="106">
        <f t="shared" si="16"/>
      </c>
      <c r="U161" s="106">
        <f t="shared" si="20"/>
      </c>
      <c r="V161" s="106">
        <f t="shared" si="17"/>
      </c>
    </row>
    <row r="162" spans="1:22" ht="60" x14ac:dyDescent="0.2">
      <c r="A162" s="4">
        <f>Questions!$A162</f>
      </c>
      <c r="B162" s="4">
        <f t="shared" si="18"/>
      </c>
      <c r="C162" s="4">
        <f>VLOOKUP($A162,Questions!$A$3:$L$333,2,0)&amp;""</f>
      </c>
      <c r="D162" s="4">
        <f>VLOOKUP($A162,Questions!$A$3:$L$333,11,0)&amp;""</f>
      </c>
      <c r="E162" s="4">
        <f>VLOOKUP($A162,Questions!$A$3:$L$333,12,0)&amp;""</f>
      </c>
      <c r="F162" s="4">
        <f>VLOOKUP($A162,'Institution Evaluation'!$A$56:$K$345,3,0)&amp;""</f>
      </c>
      <c r="G162" s="4">
        <f>VLOOKUP($A162,'Institution Evaluation'!$A$56:$K$345,7,0)&amp;""</f>
      </c>
      <c r="H162" s="4">
        <f>VLOOKUP($A162,'Institution Evaluation'!$A$56:$K$345,8,0)&amp;""</f>
      </c>
      <c r="I162" s="4">
        <f>VLOOKUP($A162,'Institution Evaluation'!$A$56:$K$345,9,0)&amp;""</f>
      </c>
      <c r="J162" s="4">
        <f>VLOOKUP($A162,'Institution Evaluation'!$A$56:$K$345,10,0)&amp;""</f>
      </c>
      <c r="K162" s="4">
        <f>IF($I162='Auto Responses'!$J$11,20,IF($I162='Auto Responses'!$J$13,5,10))</f>
      </c>
      <c r="L162" s="106">
        <f>IF($E162='Auto Responses'!$L$13, 'Auto Responses'!$J$5,IF(AND($D162='Auto Responses'!$J$27,$H162=""),'Auto Responses'!$J$5,IF(AND($D162='Auto Responses'!$J$27,$H162='Auto Responses'!$J$7),1,IF(AND($D162='Auto Responses'!$J$27,$H162='Auto Responses'!$J$8),0,IF(OR(AND($F162=$G162,$H162=""),$H162='Auto Responses'!$J$7),1,0)))))</f>
      </c>
      <c r="M162" s="4">
        <f>VLOOKUP($A162,'Institution Evaluation'!$A$56:$K$345,11,0)&amp;""</f>
      </c>
      <c r="N162" s="4">
        <f>IF($J162='Auto Responses'!$J$11,1,IF(AND($J162="",$I162='Auto Responses'!$J$11),1,0))</f>
      </c>
      <c r="O162" s="106">
        <f>IF(OR($E162='Auto Responses'!$L$13,$F162='Auto Responses'!$J$5),'Auto Responses'!$J$5,IF($J162="",$K162,IF($J162='Auto Responses'!$J$13,5,IF($J162='Auto Responses'!$J$12,10,IF($J162='Auto Responses'!$J$11,20,0)))))</f>
      </c>
      <c r="P162" s="106">
        <f>IF(OR($O162='Auto Responses'!$J$5,$L162='Auto Responses'!$J$5),'Auto Responses'!$J$5,$O162*$L162)</f>
      </c>
      <c r="Q162" s="106">
        <f t="shared" si="14"/>
      </c>
      <c r="R162" s="106">
        <f t="shared" si="19"/>
      </c>
      <c r="S162" s="106">
        <f t="shared" si="15"/>
      </c>
      <c r="T162" s="106">
        <f t="shared" si="16"/>
      </c>
      <c r="U162" s="106">
        <f t="shared" si="20"/>
      </c>
      <c r="V162" s="106">
        <f t="shared" si="17"/>
      </c>
    </row>
    <row r="163" spans="1:22" ht="60" x14ac:dyDescent="0.2">
      <c r="A163" s="4">
        <f>Questions!$A163</f>
      </c>
      <c r="B163" s="4">
        <f t="shared" si="18"/>
      </c>
      <c r="C163" s="4">
        <f>VLOOKUP($A163,Questions!$A$3:$L$333,2,0)&amp;""</f>
      </c>
      <c r="D163" s="4">
        <f>VLOOKUP($A163,Questions!$A$3:$L$333,11,0)&amp;""</f>
      </c>
      <c r="E163" s="4">
        <f>VLOOKUP($A163,Questions!$A$3:$L$333,12,0)&amp;""</f>
      </c>
      <c r="F163" s="4">
        <f>VLOOKUP($A163,'Institution Evaluation'!$A$56:$K$345,3,0)&amp;""</f>
      </c>
      <c r="G163" s="4">
        <f>VLOOKUP($A163,'Institution Evaluation'!$A$56:$K$345,7,0)&amp;""</f>
      </c>
      <c r="H163" s="4">
        <f>VLOOKUP($A163,'Institution Evaluation'!$A$56:$K$345,8,0)&amp;""</f>
      </c>
      <c r="I163" s="4">
        <f>VLOOKUP($A163,'Institution Evaluation'!$A$56:$K$345,9,0)&amp;""</f>
      </c>
      <c r="J163" s="4">
        <f>VLOOKUP($A163,'Institution Evaluation'!$A$56:$K$345,10,0)&amp;""</f>
      </c>
      <c r="K163" s="4">
        <f>IF($I163='Auto Responses'!$J$11,20,IF($I163='Auto Responses'!$J$13,5,10))</f>
      </c>
      <c r="L163" s="106">
        <f>IF($E163='Auto Responses'!$L$13, 'Auto Responses'!$J$5,IF(AND($D163='Auto Responses'!$J$27,$H163=""),'Auto Responses'!$J$5,IF(AND($D163='Auto Responses'!$J$27,$H163='Auto Responses'!$J$7),1,IF(AND($D163='Auto Responses'!$J$27,$H163='Auto Responses'!$J$8),0,IF(OR(AND($F163=$G163,$H163=""),$H163='Auto Responses'!$J$7),1,0)))))</f>
      </c>
      <c r="M163" s="4">
        <f>VLOOKUP($A163,'Institution Evaluation'!$A$56:$K$345,11,0)&amp;""</f>
      </c>
      <c r="N163" s="4">
        <f>IF($J163='Auto Responses'!$J$11,1,IF(AND($J163="",$I163='Auto Responses'!$J$11),1,0))</f>
      </c>
      <c r="O163" s="106">
        <f>IF(OR($E163='Auto Responses'!$L$13,$F163='Auto Responses'!$J$5),'Auto Responses'!$J$5,IF($J163="",$K163,IF($J163='Auto Responses'!$J$13,5,IF($J163='Auto Responses'!$J$12,10,IF($J163='Auto Responses'!$J$11,20,0)))))</f>
      </c>
      <c r="P163" s="106">
        <f>IF(OR($O163='Auto Responses'!$J$5,$L163='Auto Responses'!$J$5),'Auto Responses'!$J$5,$O163*$L163)</f>
      </c>
      <c r="Q163" s="106">
        <f t="shared" si="14"/>
      </c>
      <c r="R163" s="106">
        <f t="shared" si="19"/>
      </c>
      <c r="S163" s="106">
        <f t="shared" si="15"/>
      </c>
      <c r="T163" s="106">
        <f t="shared" si="16"/>
      </c>
      <c r="U163" s="106">
        <f t="shared" si="20"/>
      </c>
      <c r="V163" s="106">
        <f t="shared" si="17"/>
      </c>
    </row>
    <row r="164" spans="1:22" ht="60" x14ac:dyDescent="0.2">
      <c r="A164" s="4">
        <f>Questions!$A164</f>
      </c>
      <c r="B164" s="4">
        <f t="shared" si="18"/>
      </c>
      <c r="C164" s="4">
        <f>VLOOKUP($A164,Questions!$A$3:$L$333,2,0)&amp;""</f>
      </c>
      <c r="D164" s="4">
        <f>VLOOKUP($A164,Questions!$A$3:$L$333,11,0)&amp;""</f>
      </c>
      <c r="E164" s="4">
        <f>VLOOKUP($A164,Questions!$A$3:$L$333,12,0)&amp;""</f>
      </c>
      <c r="F164" s="4">
        <f>VLOOKUP($A164,'Institution Evaluation'!$A$56:$K$345,3,0)&amp;""</f>
      </c>
      <c r="G164" s="4">
        <f>VLOOKUP($A164,'Institution Evaluation'!$A$56:$K$345,7,0)&amp;""</f>
      </c>
      <c r="H164" s="4">
        <f>VLOOKUP($A164,'Institution Evaluation'!$A$56:$K$345,8,0)&amp;""</f>
      </c>
      <c r="I164" s="4">
        <f>VLOOKUP($A164,'Institution Evaluation'!$A$56:$K$345,9,0)&amp;""</f>
      </c>
      <c r="J164" s="4">
        <f>VLOOKUP($A164,'Institution Evaluation'!$A$56:$K$345,10,0)&amp;""</f>
      </c>
      <c r="K164" s="4">
        <f>IF($I164='Auto Responses'!$J$11,20,IF($I164='Auto Responses'!$J$13,5,10))</f>
      </c>
      <c r="L164" s="106">
        <f>IF($E164='Auto Responses'!$L$13, 'Auto Responses'!$J$5,IF(AND($D164='Auto Responses'!$J$27,$H164=""),'Auto Responses'!$J$5,IF(AND($D164='Auto Responses'!$J$27,$H164='Auto Responses'!$J$7),1,IF(AND($D164='Auto Responses'!$J$27,$H164='Auto Responses'!$J$8),0,IF(OR(AND($F164=$G164,$H164=""),$H164='Auto Responses'!$J$7),1,0)))))</f>
      </c>
      <c r="M164" s="4">
        <f>VLOOKUP($A164,'Institution Evaluation'!$A$56:$K$345,11,0)&amp;""</f>
      </c>
      <c r="N164" s="4">
        <f>IF($J164='Auto Responses'!$J$11,1,IF(AND($J164="",$I164='Auto Responses'!$J$11),1,0))</f>
      </c>
      <c r="O164" s="106">
        <f>IF(OR($E164='Auto Responses'!$L$13,$F164='Auto Responses'!$J$5),'Auto Responses'!$J$5,IF($J164="",$K164,IF($J164='Auto Responses'!$J$13,5,IF($J164='Auto Responses'!$J$12,10,IF($J164='Auto Responses'!$J$11,20,0)))))</f>
      </c>
      <c r="P164" s="106">
        <f>IF(OR($O164='Auto Responses'!$J$5,$L164='Auto Responses'!$J$5),'Auto Responses'!$J$5,$O164*$L164)</f>
      </c>
      <c r="Q164" s="106">
        <f t="shared" si="14"/>
      </c>
      <c r="R164" s="106">
        <f t="shared" si="19"/>
      </c>
      <c r="S164" s="106">
        <f t="shared" si="15"/>
      </c>
      <c r="T164" s="106">
        <f t="shared" si="16"/>
      </c>
      <c r="U164" s="106">
        <f t="shared" si="20"/>
      </c>
      <c r="V164" s="106">
        <f t="shared" si="17"/>
      </c>
    </row>
    <row r="165" spans="1:22" ht="60" x14ac:dyDescent="0.2">
      <c r="A165" s="4">
        <f>Questions!$A165</f>
      </c>
      <c r="B165" s="4">
        <f t="shared" si="18"/>
      </c>
      <c r="C165" s="4">
        <f>VLOOKUP($A165,Questions!$A$3:$L$333,2,0)&amp;""</f>
      </c>
      <c r="D165" s="4">
        <f>VLOOKUP($A165,Questions!$A$3:$L$333,11,0)&amp;""</f>
      </c>
      <c r="E165" s="4">
        <f>VLOOKUP($A165,Questions!$A$3:$L$333,12,0)&amp;""</f>
      </c>
      <c r="F165" s="4">
        <f>VLOOKUP($A165,'Institution Evaluation'!$A$56:$K$345,3,0)&amp;""</f>
      </c>
      <c r="G165" s="4">
        <f>VLOOKUP($A165,'Institution Evaluation'!$A$56:$K$345,7,0)&amp;""</f>
      </c>
      <c r="H165" s="4">
        <f>VLOOKUP($A165,'Institution Evaluation'!$A$56:$K$345,8,0)&amp;""</f>
      </c>
      <c r="I165" s="4">
        <f>VLOOKUP($A165,'Institution Evaluation'!$A$56:$K$345,9,0)&amp;""</f>
      </c>
      <c r="J165" s="4">
        <f>VLOOKUP($A165,'Institution Evaluation'!$A$56:$K$345,10,0)&amp;""</f>
      </c>
      <c r="K165" s="4">
        <f>IF($I165='Auto Responses'!$J$11,20,IF($I165='Auto Responses'!$J$13,5,10))</f>
      </c>
      <c r="L165" s="106">
        <f>IF($E165='Auto Responses'!$L$13, 'Auto Responses'!$J$5,IF(AND($D165='Auto Responses'!$J$27,$H165=""),'Auto Responses'!$J$5,IF(AND($D165='Auto Responses'!$J$27,$H165='Auto Responses'!$J$7),1,IF(AND($D165='Auto Responses'!$J$27,$H165='Auto Responses'!$J$8),0,IF(OR(AND($F165=$G165,$H165=""),$H165='Auto Responses'!$J$7),1,0)))))</f>
      </c>
      <c r="M165" s="4">
        <f>VLOOKUP($A165,'Institution Evaluation'!$A$56:$K$345,11,0)&amp;""</f>
      </c>
      <c r="N165" s="4">
        <f>IF($J165='Auto Responses'!$J$11,1,IF(AND($J165="",$I165='Auto Responses'!$J$11),1,0))</f>
      </c>
      <c r="O165" s="106">
        <f>IF(OR($E165='Auto Responses'!$L$13,$F165='Auto Responses'!$J$5),'Auto Responses'!$J$5,IF($J165="",$K165,IF($J165='Auto Responses'!$J$13,5,IF($J165='Auto Responses'!$J$12,10,IF($J165='Auto Responses'!$J$11,20,0)))))</f>
      </c>
      <c r="P165" s="106">
        <f>IF(OR($O165='Auto Responses'!$J$5,$L165='Auto Responses'!$J$5),'Auto Responses'!$J$5,$O165*$L165)</f>
      </c>
      <c r="Q165" s="106">
        <f t="shared" si="14"/>
      </c>
      <c r="R165" s="106">
        <f t="shared" si="19"/>
      </c>
      <c r="S165" s="106">
        <f t="shared" si="15"/>
      </c>
      <c r="T165" s="106">
        <f t="shared" si="16"/>
      </c>
      <c r="U165" s="106">
        <f t="shared" si="20"/>
      </c>
      <c r="V165" s="106">
        <f t="shared" si="17"/>
      </c>
    </row>
    <row r="166" spans="1:22" ht="60" x14ac:dyDescent="0.2">
      <c r="A166" s="4">
        <f>Questions!$A166</f>
      </c>
      <c r="B166" s="4">
        <f t="shared" si="18"/>
      </c>
      <c r="C166" s="4">
        <f>VLOOKUP($A166,Questions!$A$3:$L$333,2,0)&amp;""</f>
      </c>
      <c r="D166" s="4">
        <f>VLOOKUP($A166,Questions!$A$3:$L$333,11,0)&amp;""</f>
      </c>
      <c r="E166" s="4">
        <f>VLOOKUP($A166,Questions!$A$3:$L$333,12,0)&amp;""</f>
      </c>
      <c r="F166" s="4">
        <f>VLOOKUP($A166,'Institution Evaluation'!$A$56:$K$345,3,0)&amp;""</f>
      </c>
      <c r="G166" s="4">
        <f>VLOOKUP($A166,'Institution Evaluation'!$A$56:$K$345,7,0)&amp;""</f>
      </c>
      <c r="H166" s="4">
        <f>VLOOKUP($A166,'Institution Evaluation'!$A$56:$K$345,8,0)&amp;""</f>
      </c>
      <c r="I166" s="4">
        <f>VLOOKUP($A166,'Institution Evaluation'!$A$56:$K$345,9,0)&amp;""</f>
      </c>
      <c r="J166" s="4">
        <f>VLOOKUP($A166,'Institution Evaluation'!$A$56:$K$345,10,0)&amp;""</f>
      </c>
      <c r="K166" s="4">
        <f>IF($I166='Auto Responses'!$J$11,20,IF($I166='Auto Responses'!$J$13,5,10))</f>
      </c>
      <c r="L166" s="106">
        <f>IF($E166='Auto Responses'!$L$13, 'Auto Responses'!$J$5,IF(AND($D166='Auto Responses'!$J$27,$H166=""),'Auto Responses'!$J$5,IF(AND($D166='Auto Responses'!$J$27,$H166='Auto Responses'!$J$7),1,IF(AND($D166='Auto Responses'!$J$27,$H166='Auto Responses'!$J$8),0,IF(OR(AND($F166=$G166,$H166=""),$H166='Auto Responses'!$J$7),1,0)))))</f>
      </c>
      <c r="M166" s="4">
        <f>VLOOKUP($A166,'Institution Evaluation'!$A$56:$K$345,11,0)&amp;""</f>
      </c>
      <c r="N166" s="4">
        <f>IF($J166='Auto Responses'!$J$11,1,IF(AND($J166="",$I166='Auto Responses'!$J$11),1,0))</f>
      </c>
      <c r="O166" s="106">
        <f>IF(OR($E166='Auto Responses'!$L$13,$F166='Auto Responses'!$J$5),'Auto Responses'!$J$5,IF($J166="",$K166,IF($J166='Auto Responses'!$J$13,5,IF($J166='Auto Responses'!$J$12,10,IF($J166='Auto Responses'!$J$11,20,0)))))</f>
      </c>
      <c r="P166" s="106">
        <f>IF(OR($O166='Auto Responses'!$J$5,$L166='Auto Responses'!$J$5),'Auto Responses'!$J$5,$O166*$L166)</f>
      </c>
      <c r="Q166" s="106">
        <f t="shared" si="14"/>
      </c>
      <c r="R166" s="106">
        <f t="shared" si="19"/>
      </c>
      <c r="S166" s="106">
        <f t="shared" si="15"/>
      </c>
      <c r="T166" s="106">
        <f t="shared" si="16"/>
      </c>
      <c r="U166" s="106">
        <f t="shared" si="20"/>
      </c>
      <c r="V166" s="106">
        <f t="shared" si="17"/>
      </c>
    </row>
    <row r="167" spans="1:22" ht="60" x14ac:dyDescent="0.2">
      <c r="A167" s="4">
        <f>Questions!$A167</f>
      </c>
      <c r="B167" s="4">
        <f t="shared" si="18"/>
      </c>
      <c r="C167" s="4">
        <f>VLOOKUP($A167,Questions!$A$3:$L$333,2,0)&amp;""</f>
      </c>
      <c r="D167" s="4">
        <f>VLOOKUP($A167,Questions!$A$3:$L$333,11,0)&amp;""</f>
      </c>
      <c r="E167" s="4">
        <f>VLOOKUP($A167,Questions!$A$3:$L$333,12,0)&amp;""</f>
      </c>
      <c r="F167" s="4">
        <f>VLOOKUP($A167,'Institution Evaluation'!$A$56:$K$345,3,0)&amp;""</f>
      </c>
      <c r="G167" s="4">
        <f>VLOOKUP($A167,'Institution Evaluation'!$A$56:$K$345,7,0)&amp;""</f>
      </c>
      <c r="H167" s="4">
        <f>VLOOKUP($A167,'Institution Evaluation'!$A$56:$K$345,8,0)&amp;""</f>
      </c>
      <c r="I167" s="4">
        <f>VLOOKUP($A167,'Institution Evaluation'!$A$56:$K$345,9,0)&amp;""</f>
      </c>
      <c r="J167" s="4">
        <f>VLOOKUP($A167,'Institution Evaluation'!$A$56:$K$345,10,0)&amp;""</f>
      </c>
      <c r="K167" s="4">
        <f>IF($I167='Auto Responses'!$J$11,20,IF($I167='Auto Responses'!$J$13,5,10))</f>
      </c>
      <c r="L167" s="106">
        <f>IF($E167='Auto Responses'!$L$13, 'Auto Responses'!$J$5,IF(AND($D167='Auto Responses'!$J$27,$H167=""),'Auto Responses'!$J$5,IF(AND($D167='Auto Responses'!$J$27,$H167='Auto Responses'!$J$7),1,IF(AND($D167='Auto Responses'!$J$27,$H167='Auto Responses'!$J$8),0,IF(OR(AND($F167=$G167,$H167=""),$H167='Auto Responses'!$J$7),1,0)))))</f>
      </c>
      <c r="M167" s="4">
        <f>VLOOKUP($A167,'Institution Evaluation'!$A$56:$K$345,11,0)&amp;""</f>
      </c>
      <c r="N167" s="4">
        <f>IF($J167='Auto Responses'!$J$11,1,IF(AND($J167="",$I167='Auto Responses'!$J$11),1,0))</f>
      </c>
      <c r="O167" s="106">
        <f>IF(OR($E167='Auto Responses'!$L$13,$F167='Auto Responses'!$J$5),'Auto Responses'!$J$5,IF($J167="",$K167,IF($J167='Auto Responses'!$J$13,5,IF($J167='Auto Responses'!$J$12,10,IF($J167='Auto Responses'!$J$11,20,0)))))</f>
      </c>
      <c r="P167" s="106">
        <f>IF(OR($O167='Auto Responses'!$J$5,$L167='Auto Responses'!$J$5),'Auto Responses'!$J$5,$O167*$L167)</f>
      </c>
      <c r="Q167" s="106">
        <f t="shared" si="14"/>
      </c>
      <c r="R167" s="106">
        <f t="shared" si="19"/>
      </c>
      <c r="S167" s="106">
        <f t="shared" si="15"/>
      </c>
      <c r="T167" s="106">
        <f t="shared" si="16"/>
      </c>
      <c r="U167" s="106">
        <f t="shared" si="20"/>
      </c>
      <c r="V167" s="106">
        <f t="shared" si="17"/>
      </c>
    </row>
    <row r="168" spans="1:22" ht="60" x14ac:dyDescent="0.2">
      <c r="A168" s="4">
        <f>Questions!$A168</f>
      </c>
      <c r="B168" s="4">
        <f t="shared" si="18"/>
      </c>
      <c r="C168" s="4">
        <f>VLOOKUP($A168,Questions!$A$3:$L$333,2,0)&amp;""</f>
      </c>
      <c r="D168" s="4">
        <f>VLOOKUP($A168,Questions!$A$3:$L$333,11,0)&amp;""</f>
      </c>
      <c r="E168" s="4">
        <f>VLOOKUP($A168,Questions!$A$3:$L$333,12,0)&amp;""</f>
      </c>
      <c r="F168" s="4">
        <f>VLOOKUP($A168,'Institution Evaluation'!$A$56:$K$345,3,0)&amp;""</f>
      </c>
      <c r="G168" s="4">
        <f>VLOOKUP($A168,'Institution Evaluation'!$A$56:$K$345,7,0)&amp;""</f>
      </c>
      <c r="H168" s="4">
        <f>VLOOKUP($A168,'Institution Evaluation'!$A$56:$K$345,8,0)&amp;""</f>
      </c>
      <c r="I168" s="4">
        <f>VLOOKUP($A168,'Institution Evaluation'!$A$56:$K$345,9,0)&amp;""</f>
      </c>
      <c r="J168" s="4">
        <f>VLOOKUP($A168,'Institution Evaluation'!$A$56:$K$345,10,0)&amp;""</f>
      </c>
      <c r="K168" s="4">
        <f>IF($I168='Auto Responses'!$J$11,20,IF($I168='Auto Responses'!$J$13,5,10))</f>
      </c>
      <c r="L168" s="106">
        <f>IF($E168='Auto Responses'!$L$13, 'Auto Responses'!$J$5,IF(AND($D168='Auto Responses'!$J$27,$H168=""),'Auto Responses'!$J$5,IF(AND($D168='Auto Responses'!$J$27,$H168='Auto Responses'!$J$7),1,IF(AND($D168='Auto Responses'!$J$27,$H168='Auto Responses'!$J$8),0,IF(OR(AND($F168=$G168,$H168=""),$H168='Auto Responses'!$J$7),1,0)))))</f>
      </c>
      <c r="M168" s="4">
        <f>VLOOKUP($A168,'Institution Evaluation'!$A$56:$K$345,11,0)&amp;""</f>
      </c>
      <c r="N168" s="4">
        <f>IF($J168='Auto Responses'!$J$11,1,IF(AND($J168="",$I168='Auto Responses'!$J$11),1,0))</f>
      </c>
      <c r="O168" s="106">
        <f>IF(OR($E168='Auto Responses'!$L$13,$F168='Auto Responses'!$J$5),'Auto Responses'!$J$5,IF($J168="",$K168,IF($J168='Auto Responses'!$J$13,5,IF($J168='Auto Responses'!$J$12,10,IF($J168='Auto Responses'!$J$11,20,0)))))</f>
      </c>
      <c r="P168" s="106">
        <f>IF(OR($O168='Auto Responses'!$J$5,$L168='Auto Responses'!$J$5),'Auto Responses'!$J$5,$O168*$L168)</f>
      </c>
      <c r="Q168" s="106">
        <f t="shared" si="14"/>
      </c>
      <c r="R168" s="106">
        <f t="shared" si="19"/>
      </c>
      <c r="S168" s="106">
        <f t="shared" si="15"/>
      </c>
      <c r="T168" s="106">
        <f t="shared" si="16"/>
      </c>
      <c r="U168" s="106">
        <f t="shared" si="20"/>
      </c>
      <c r="V168" s="106">
        <f t="shared" si="17"/>
      </c>
    </row>
    <row r="169" spans="1:22" ht="60" x14ac:dyDescent="0.2">
      <c r="A169" s="4">
        <f>Questions!$A169</f>
      </c>
      <c r="B169" s="4">
        <f t="shared" si="18"/>
      </c>
      <c r="C169" s="4">
        <f>VLOOKUP($A169,Questions!$A$3:$L$333,2,0)&amp;""</f>
      </c>
      <c r="D169" s="4">
        <f>VLOOKUP($A169,Questions!$A$3:$L$333,11,0)&amp;""</f>
      </c>
      <c r="E169" s="4">
        <f>VLOOKUP($A169,Questions!$A$3:$L$333,12,0)&amp;""</f>
      </c>
      <c r="F169" s="4">
        <f>VLOOKUP($A169,'Institution Evaluation'!$A$56:$K$345,3,0)&amp;""</f>
      </c>
      <c r="G169" s="4">
        <f>VLOOKUP($A169,'Institution Evaluation'!$A$56:$K$345,7,0)&amp;""</f>
      </c>
      <c r="H169" s="4">
        <f>VLOOKUP($A169,'Institution Evaluation'!$A$56:$K$345,8,0)&amp;""</f>
      </c>
      <c r="I169" s="4">
        <f>VLOOKUP($A169,'Institution Evaluation'!$A$56:$K$345,9,0)&amp;""</f>
      </c>
      <c r="J169" s="4">
        <f>VLOOKUP($A169,'Institution Evaluation'!$A$56:$K$345,10,0)&amp;""</f>
      </c>
      <c r="K169" s="4">
        <f>IF($I169='Auto Responses'!$J$11,20,IF($I169='Auto Responses'!$J$13,5,10))</f>
      </c>
      <c r="L169" s="106">
        <f>IF($E169='Auto Responses'!$L$13, 'Auto Responses'!$J$5,IF(AND($D169='Auto Responses'!$J$27,$H169=""),'Auto Responses'!$J$5,IF(AND($D169='Auto Responses'!$J$27,$H169='Auto Responses'!$J$7),1,IF(AND($D169='Auto Responses'!$J$27,$H169='Auto Responses'!$J$8),0,IF(OR(AND($F169=$G169,$H169=""),$H169='Auto Responses'!$J$7),1,0)))))</f>
      </c>
      <c r="M169" s="4">
        <f>VLOOKUP($A169,'Institution Evaluation'!$A$56:$K$345,11,0)&amp;""</f>
      </c>
      <c r="N169" s="4">
        <f>IF($J169='Auto Responses'!$J$11,1,IF(AND($J169="",$I169='Auto Responses'!$J$11),1,0))</f>
      </c>
      <c r="O169" s="106">
        <f>IF(OR($E169='Auto Responses'!$L$13,$F169='Auto Responses'!$J$5),'Auto Responses'!$J$5,IF($J169="",$K169,IF($J169='Auto Responses'!$J$13,5,IF($J169='Auto Responses'!$J$12,10,IF($J169='Auto Responses'!$J$11,20,0)))))</f>
      </c>
      <c r="P169" s="106">
        <f>IF(OR($O169='Auto Responses'!$J$5,$L169='Auto Responses'!$J$5),'Auto Responses'!$J$5,$O169*$L169)</f>
      </c>
      <c r="Q169" s="106">
        <f t="shared" si="14"/>
      </c>
      <c r="R169" s="106">
        <f t="shared" si="19"/>
      </c>
      <c r="S169" s="106">
        <f t="shared" si="15"/>
      </c>
      <c r="T169" s="106">
        <f t="shared" si="16"/>
      </c>
      <c r="U169" s="106">
        <f t="shared" si="20"/>
      </c>
      <c r="V169" s="106">
        <f t="shared" si="17"/>
      </c>
    </row>
    <row r="170" spans="1:22" ht="60" x14ac:dyDescent="0.2">
      <c r="A170" s="4">
        <f>Questions!$A170</f>
      </c>
      <c r="B170" s="4">
        <f t="shared" si="18"/>
      </c>
      <c r="C170" s="4">
        <f>VLOOKUP($A170,Questions!$A$3:$L$333,2,0)&amp;""</f>
      </c>
      <c r="D170" s="4">
        <f>VLOOKUP($A170,Questions!$A$3:$L$333,11,0)&amp;""</f>
      </c>
      <c r="E170" s="4">
        <f>VLOOKUP($A170,Questions!$A$3:$L$333,12,0)&amp;""</f>
      </c>
      <c r="F170" s="4">
        <f>VLOOKUP($A170,'Institution Evaluation'!$A$56:$K$345,3,0)&amp;""</f>
      </c>
      <c r="G170" s="4">
        <f>VLOOKUP($A170,'Institution Evaluation'!$A$56:$K$345,7,0)&amp;""</f>
      </c>
      <c r="H170" s="4">
        <f>VLOOKUP($A170,'Institution Evaluation'!$A$56:$K$345,8,0)&amp;""</f>
      </c>
      <c r="I170" s="4">
        <f>VLOOKUP($A170,'Institution Evaluation'!$A$56:$K$345,9,0)&amp;""</f>
      </c>
      <c r="J170" s="4">
        <f>VLOOKUP($A170,'Institution Evaluation'!$A$56:$K$345,10,0)&amp;""</f>
      </c>
      <c r="K170" s="4">
        <f>IF($I170='Auto Responses'!$J$11,20,IF($I170='Auto Responses'!$J$13,5,10))</f>
      </c>
      <c r="L170" s="106">
        <f>IF($E170='Auto Responses'!$L$13, 'Auto Responses'!$J$5,IF(AND($D170='Auto Responses'!$J$27,$H170=""),'Auto Responses'!$J$5,IF(AND($D170='Auto Responses'!$J$27,$H170='Auto Responses'!$J$7),1,IF(AND($D170='Auto Responses'!$J$27,$H170='Auto Responses'!$J$8),0,IF(OR(AND($F170=$G170,$H170=""),$H170='Auto Responses'!$J$7),1,0)))))</f>
      </c>
      <c r="M170" s="4">
        <f>VLOOKUP($A170,'Institution Evaluation'!$A$56:$K$345,11,0)&amp;""</f>
      </c>
      <c r="N170" s="4">
        <f>IF($J170='Auto Responses'!$J$11,1,IF(AND($J170="",$I170='Auto Responses'!$J$11),1,0))</f>
      </c>
      <c r="O170" s="106">
        <f>IF(OR($E170='Auto Responses'!$L$13,$F170='Auto Responses'!$J$5),'Auto Responses'!$J$5,IF($J170="",$K170,IF($J170='Auto Responses'!$J$13,5,IF($J170='Auto Responses'!$J$12,10,IF($J170='Auto Responses'!$J$11,20,0)))))</f>
      </c>
      <c r="P170" s="106">
        <f>IF(OR($O170='Auto Responses'!$J$5,$L170='Auto Responses'!$J$5),'Auto Responses'!$J$5,$O170*$L170)</f>
      </c>
      <c r="Q170" s="106">
        <f t="shared" si="14"/>
      </c>
      <c r="R170" s="106">
        <f t="shared" si="19"/>
      </c>
      <c r="S170" s="106">
        <f t="shared" si="15"/>
      </c>
      <c r="T170" s="106">
        <f t="shared" si="16"/>
      </c>
      <c r="U170" s="106">
        <f t="shared" si="20"/>
      </c>
      <c r="V170" s="106">
        <f t="shared" si="17"/>
      </c>
    </row>
    <row r="171" spans="1:22" ht="60" x14ac:dyDescent="0.2">
      <c r="A171" s="4">
        <f>Questions!$A171</f>
      </c>
      <c r="B171" s="4">
        <f t="shared" si="18"/>
      </c>
      <c r="C171" s="4">
        <f>VLOOKUP($A171,Questions!$A$3:$L$333,2,0)&amp;""</f>
      </c>
      <c r="D171" s="4">
        <f>VLOOKUP($A171,Questions!$A$3:$L$333,11,0)&amp;""</f>
      </c>
      <c r="E171" s="4">
        <f>VLOOKUP($A171,Questions!$A$3:$L$333,12,0)&amp;""</f>
      </c>
      <c r="F171" s="4">
        <f>VLOOKUP($A171,'Institution Evaluation'!$A$56:$K$345,3,0)&amp;""</f>
      </c>
      <c r="G171" s="4">
        <f>VLOOKUP($A171,'Institution Evaluation'!$A$56:$K$345,7,0)&amp;""</f>
      </c>
      <c r="H171" s="4">
        <f>VLOOKUP($A171,'Institution Evaluation'!$A$56:$K$345,8,0)&amp;""</f>
      </c>
      <c r="I171" s="4">
        <f>VLOOKUP($A171,'Institution Evaluation'!$A$56:$K$345,9,0)&amp;""</f>
      </c>
      <c r="J171" s="4">
        <f>VLOOKUP($A171,'Institution Evaluation'!$A$56:$K$345,10,0)&amp;""</f>
      </c>
      <c r="K171" s="4">
        <f>IF($I171='Auto Responses'!$J$11,20,IF($I171='Auto Responses'!$J$13,5,10))</f>
      </c>
      <c r="L171" s="106">
        <f>IF($E171='Auto Responses'!$L$13, 'Auto Responses'!$J$5,IF(AND($D171='Auto Responses'!$J$27,$H171=""),'Auto Responses'!$J$5,IF(AND($D171='Auto Responses'!$J$27,$H171='Auto Responses'!$J$7),1,IF(AND($D171='Auto Responses'!$J$27,$H171='Auto Responses'!$J$8),0,IF(OR(AND($F171=$G171,$H171=""),$H171='Auto Responses'!$J$7),1,0)))))</f>
      </c>
      <c r="M171" s="4">
        <f>VLOOKUP($A171,'Institution Evaluation'!$A$56:$K$345,11,0)&amp;""</f>
      </c>
      <c r="N171" s="4">
        <f>IF($J171='Auto Responses'!$J$11,1,IF(AND($J171="",$I171='Auto Responses'!$J$11),1,0))</f>
      </c>
      <c r="O171" s="106">
        <f>IF(OR($E171='Auto Responses'!$L$13,$F171='Auto Responses'!$J$5),'Auto Responses'!$J$5,IF($J171="",$K171,IF($J171='Auto Responses'!$J$13,5,IF($J171='Auto Responses'!$J$12,10,IF($J171='Auto Responses'!$J$11,20,0)))))</f>
      </c>
      <c r="P171" s="106">
        <f>IF(OR($O171='Auto Responses'!$J$5,$L171='Auto Responses'!$J$5),'Auto Responses'!$J$5,$O171*$L171)</f>
      </c>
      <c r="Q171" s="106">
        <f t="shared" si="14"/>
      </c>
      <c r="R171" s="106">
        <f t="shared" si="19"/>
      </c>
      <c r="S171" s="106">
        <f t="shared" si="15"/>
      </c>
      <c r="T171" s="106">
        <f t="shared" si="16"/>
      </c>
      <c r="U171" s="106">
        <f t="shared" si="20"/>
      </c>
      <c r="V171" s="106">
        <f t="shared" si="17"/>
      </c>
    </row>
    <row r="172" spans="1:22" ht="60" x14ac:dyDescent="0.2">
      <c r="A172" s="4">
        <f>Questions!$A172</f>
      </c>
      <c r="B172" s="4">
        <f t="shared" si="18"/>
      </c>
      <c r="C172" s="4">
        <f>VLOOKUP($A172,Questions!$A$3:$L$333,2,0)&amp;""</f>
      </c>
      <c r="D172" s="4">
        <f>VLOOKUP($A172,Questions!$A$3:$L$333,11,0)&amp;""</f>
      </c>
      <c r="E172" s="4">
        <f>VLOOKUP($A172,Questions!$A$3:$L$333,12,0)&amp;""</f>
      </c>
      <c r="F172" s="4">
        <f>VLOOKUP($A172,'Institution Evaluation'!$A$56:$K$345,3,0)&amp;""</f>
      </c>
      <c r="G172" s="4">
        <f>VLOOKUP($A172,'Institution Evaluation'!$A$56:$K$345,7,0)&amp;""</f>
      </c>
      <c r="H172" s="4">
        <f>VLOOKUP($A172,'Institution Evaluation'!$A$56:$K$345,8,0)&amp;""</f>
      </c>
      <c r="I172" s="4">
        <f>VLOOKUP($A172,'Institution Evaluation'!$A$56:$K$345,9,0)&amp;""</f>
      </c>
      <c r="J172" s="4">
        <f>VLOOKUP($A172,'Institution Evaluation'!$A$56:$K$345,10,0)&amp;""</f>
      </c>
      <c r="K172" s="4">
        <f>IF($I172='Auto Responses'!$J$11,20,IF($I172='Auto Responses'!$J$13,5,10))</f>
      </c>
      <c r="L172" s="106">
        <f>IF($E172='Auto Responses'!$L$13, 'Auto Responses'!$J$5,IF(AND($D172='Auto Responses'!$J$27,$H172=""),'Auto Responses'!$J$5,IF(AND($D172='Auto Responses'!$J$27,$H172='Auto Responses'!$J$7),1,IF(AND($D172='Auto Responses'!$J$27,$H172='Auto Responses'!$J$8),0,IF(OR(AND($F172=$G172,$H172=""),$H172='Auto Responses'!$J$7),1,0)))))</f>
      </c>
      <c r="M172" s="4">
        <f>VLOOKUP($A172,'Institution Evaluation'!$A$56:$K$345,11,0)&amp;""</f>
      </c>
      <c r="N172" s="4">
        <f>IF($J172='Auto Responses'!$J$11,1,IF(AND($J172="",$I172='Auto Responses'!$J$11),1,0))</f>
      </c>
      <c r="O172" s="106">
        <f>IF(OR($E172='Auto Responses'!$L$13,$F172='Auto Responses'!$J$5),'Auto Responses'!$J$5,IF($J172="",$K172,IF($J172='Auto Responses'!$J$13,5,IF($J172='Auto Responses'!$J$12,10,IF($J172='Auto Responses'!$J$11,20,0)))))</f>
      </c>
      <c r="P172" s="106">
        <f>IF(OR($O172='Auto Responses'!$J$5,$L172='Auto Responses'!$J$5),'Auto Responses'!$J$5,$O172*$L172)</f>
      </c>
      <c r="Q172" s="106">
        <f t="shared" si="14"/>
      </c>
      <c r="R172" s="106">
        <f t="shared" si="19"/>
      </c>
      <c r="S172" s="106">
        <f t="shared" si="15"/>
      </c>
      <c r="T172" s="106">
        <f t="shared" si="16"/>
      </c>
      <c r="U172" s="106">
        <f t="shared" si="20"/>
      </c>
      <c r="V172" s="106">
        <f t="shared" si="17"/>
      </c>
    </row>
    <row r="173" spans="1:22" ht="60" x14ac:dyDescent="0.2">
      <c r="A173" s="4">
        <f>Questions!$A173</f>
      </c>
      <c r="B173" s="4">
        <f t="shared" si="18"/>
      </c>
      <c r="C173" s="4">
        <f>VLOOKUP($A173,Questions!$A$3:$L$333,2,0)&amp;""</f>
      </c>
      <c r="D173" s="4">
        <f>VLOOKUP($A173,Questions!$A$3:$L$333,11,0)&amp;""</f>
      </c>
      <c r="E173" s="4">
        <f>VLOOKUP($A173,Questions!$A$3:$L$333,12,0)&amp;""</f>
      </c>
      <c r="F173" s="4">
        <f>VLOOKUP($A173,'Institution Evaluation'!$A$56:$K$345,3,0)&amp;""</f>
      </c>
      <c r="G173" s="4">
        <f>VLOOKUP($A173,'Institution Evaluation'!$A$56:$K$345,7,0)&amp;""</f>
      </c>
      <c r="H173" s="4">
        <f>VLOOKUP($A173,'Institution Evaluation'!$A$56:$K$345,8,0)&amp;""</f>
      </c>
      <c r="I173" s="4">
        <f>VLOOKUP($A173,'Institution Evaluation'!$A$56:$K$345,9,0)&amp;""</f>
      </c>
      <c r="J173" s="4">
        <f>VLOOKUP($A173,'Institution Evaluation'!$A$56:$K$345,10,0)&amp;""</f>
      </c>
      <c r="K173" s="4">
        <f>IF($I173='Auto Responses'!$J$11,20,IF($I173='Auto Responses'!$J$13,5,10))</f>
      </c>
      <c r="L173" s="106">
        <f>IF($E173='Auto Responses'!$L$13, 'Auto Responses'!$J$5,IF(AND($D173='Auto Responses'!$J$27,$H173=""),'Auto Responses'!$J$5,IF(AND($D173='Auto Responses'!$J$27,$H173='Auto Responses'!$J$7),1,IF(AND($D173='Auto Responses'!$J$27,$H173='Auto Responses'!$J$8),0,IF(OR(AND($F173=$G173,$H173=""),$H173='Auto Responses'!$J$7),1,0)))))</f>
      </c>
      <c r="M173" s="4">
        <f>VLOOKUP($A173,'Institution Evaluation'!$A$56:$K$345,11,0)&amp;""</f>
      </c>
      <c r="N173" s="4">
        <f>IF($J173='Auto Responses'!$J$11,1,IF(AND($J173="",$I173='Auto Responses'!$J$11),1,0))</f>
      </c>
      <c r="O173" s="106">
        <f>IF(OR($E173='Auto Responses'!$L$13,$F173='Auto Responses'!$J$5),'Auto Responses'!$J$5,IF($J173="",$K173,IF($J173='Auto Responses'!$J$13,5,IF($J173='Auto Responses'!$J$12,10,IF($J173='Auto Responses'!$J$11,20,0)))))</f>
      </c>
      <c r="P173" s="106">
        <f>IF(OR($O173='Auto Responses'!$J$5,$L173='Auto Responses'!$J$5),'Auto Responses'!$J$5,$O173*$L173)</f>
      </c>
      <c r="Q173" s="106">
        <f t="shared" si="14"/>
      </c>
      <c r="R173" s="106">
        <f t="shared" si="19"/>
      </c>
      <c r="S173" s="106">
        <f t="shared" si="15"/>
      </c>
      <c r="T173" s="106">
        <f t="shared" si="16"/>
      </c>
      <c r="U173" s="106">
        <f t="shared" si="20"/>
      </c>
      <c r="V173" s="106">
        <f t="shared" si="17"/>
      </c>
    </row>
    <row r="174" spans="1:22" ht="60" x14ac:dyDescent="0.2">
      <c r="A174" s="4">
        <f>Questions!$A174</f>
      </c>
      <c r="B174" s="4">
        <f t="shared" si="18"/>
      </c>
      <c r="C174" s="4">
        <f>VLOOKUP($A174,Questions!$A$3:$L$333,2,0)&amp;""</f>
      </c>
      <c r="D174" s="4">
        <f>VLOOKUP($A174,Questions!$A$3:$L$333,11,0)&amp;""</f>
      </c>
      <c r="E174" s="4">
        <f>VLOOKUP($A174,Questions!$A$3:$L$333,12,0)&amp;""</f>
      </c>
      <c r="F174" s="4">
        <f>VLOOKUP($A174,'Institution Evaluation'!$A$56:$K$345,3,0)&amp;""</f>
      </c>
      <c r="G174" s="4">
        <f>VLOOKUP($A174,'Institution Evaluation'!$A$56:$K$345,7,0)&amp;""</f>
      </c>
      <c r="H174" s="4">
        <f>VLOOKUP($A174,'Institution Evaluation'!$A$56:$K$345,8,0)&amp;""</f>
      </c>
      <c r="I174" s="4">
        <f>VLOOKUP($A174,'Institution Evaluation'!$A$56:$K$345,9,0)&amp;""</f>
      </c>
      <c r="J174" s="4">
        <f>VLOOKUP($A174,'Institution Evaluation'!$A$56:$K$345,10,0)&amp;""</f>
      </c>
      <c r="K174" s="4">
        <f>IF($I174='Auto Responses'!$J$11,20,IF($I174='Auto Responses'!$J$13,5,10))</f>
      </c>
      <c r="L174" s="106">
        <f>IF($E174='Auto Responses'!$L$13, 'Auto Responses'!$J$5,IF(AND($D174='Auto Responses'!$J$27,$H174=""),'Auto Responses'!$J$5,IF(AND($D174='Auto Responses'!$J$27,$H174='Auto Responses'!$J$7),1,IF(AND($D174='Auto Responses'!$J$27,$H174='Auto Responses'!$J$8),0,IF(OR(AND($F174=$G174,$H174=""),$H174='Auto Responses'!$J$7),1,0)))))</f>
      </c>
      <c r="M174" s="4">
        <f>VLOOKUP($A174,'Institution Evaluation'!$A$56:$K$345,11,0)&amp;""</f>
      </c>
      <c r="N174" s="4">
        <f>IF($J174='Auto Responses'!$J$11,1,IF(AND($J174="",$I174='Auto Responses'!$J$11),1,0))</f>
      </c>
      <c r="O174" s="106">
        <f>IF(OR($E174='Auto Responses'!$L$13,$F174='Auto Responses'!$J$5),'Auto Responses'!$J$5,IF($J174="",$K174,IF($J174='Auto Responses'!$J$13,5,IF($J174='Auto Responses'!$J$12,10,IF($J174='Auto Responses'!$J$11,20,0)))))</f>
      </c>
      <c r="P174" s="106">
        <f>IF(OR($O174='Auto Responses'!$J$5,$L174='Auto Responses'!$J$5),'Auto Responses'!$J$5,$O174*$L174)</f>
      </c>
      <c r="Q174" s="106">
        <f t="shared" si="14"/>
      </c>
      <c r="R174" s="106">
        <f t="shared" si="19"/>
      </c>
      <c r="S174" s="106">
        <f t="shared" si="15"/>
      </c>
      <c r="T174" s="106">
        <f t="shared" si="16"/>
      </c>
      <c r="U174" s="106">
        <f t="shared" si="20"/>
      </c>
      <c r="V174" s="106">
        <f t="shared" si="17"/>
      </c>
    </row>
    <row r="175" spans="1:22" ht="60" x14ac:dyDescent="0.2">
      <c r="A175" s="4">
        <f>Questions!$A175</f>
      </c>
      <c r="B175" s="4">
        <f t="shared" si="18"/>
      </c>
      <c r="C175" s="4">
        <f>VLOOKUP($A175,Questions!$A$3:$L$333,2,0)&amp;""</f>
      </c>
      <c r="D175" s="4">
        <f>VLOOKUP($A175,Questions!$A$3:$L$333,11,0)&amp;""</f>
      </c>
      <c r="E175" s="4">
        <f>VLOOKUP($A175,Questions!$A$3:$L$333,12,0)&amp;""</f>
      </c>
      <c r="F175" s="4">
        <f>VLOOKUP($A175,'Institution Evaluation'!$A$56:$K$345,3,0)&amp;""</f>
      </c>
      <c r="G175" s="4">
        <f>VLOOKUP($A175,'Institution Evaluation'!$A$56:$K$345,7,0)&amp;""</f>
      </c>
      <c r="H175" s="4">
        <f>VLOOKUP($A175,'Institution Evaluation'!$A$56:$K$345,8,0)&amp;""</f>
      </c>
      <c r="I175" s="4">
        <f>VLOOKUP($A175,'Institution Evaluation'!$A$56:$K$345,9,0)&amp;""</f>
      </c>
      <c r="J175" s="4">
        <f>VLOOKUP($A175,'Institution Evaluation'!$A$56:$K$345,10,0)&amp;""</f>
      </c>
      <c r="K175" s="4">
        <f>IF($I175='Auto Responses'!$J$11,20,IF($I175='Auto Responses'!$J$13,5,10))</f>
      </c>
      <c r="L175" s="106">
        <f>IF($E175='Auto Responses'!$L$13, 'Auto Responses'!$J$5,IF(AND($D175='Auto Responses'!$J$27,$H175=""),'Auto Responses'!$J$5,IF(AND($D175='Auto Responses'!$J$27,$H175='Auto Responses'!$J$7),1,IF(AND($D175='Auto Responses'!$J$27,$H175='Auto Responses'!$J$8),0,IF(OR(AND($F175=$G175,$H175=""),$H175='Auto Responses'!$J$7),1,0)))))</f>
      </c>
      <c r="M175" s="4">
        <f>VLOOKUP($A175,'Institution Evaluation'!$A$56:$K$345,11,0)&amp;""</f>
      </c>
      <c r="N175" s="4">
        <f>IF($J175='Auto Responses'!$J$11,1,IF(AND($J175="",$I175='Auto Responses'!$J$11),1,0))</f>
      </c>
      <c r="O175" s="106">
        <f>IF(OR($E175='Auto Responses'!$L$13,$F175='Auto Responses'!$J$5),'Auto Responses'!$J$5,IF($J175="",$K175,IF($J175='Auto Responses'!$J$13,5,IF($J175='Auto Responses'!$J$12,10,IF($J175='Auto Responses'!$J$11,20,0)))))</f>
      </c>
      <c r="P175" s="106">
        <f>IF(OR($O175='Auto Responses'!$J$5,$L175='Auto Responses'!$J$5),'Auto Responses'!$J$5,$O175*$L175)</f>
      </c>
      <c r="Q175" s="106">
        <f t="shared" si="14"/>
      </c>
      <c r="R175" s="106">
        <f t="shared" si="19"/>
      </c>
      <c r="S175" s="106">
        <f t="shared" si="15"/>
      </c>
      <c r="T175" s="106">
        <f t="shared" si="16"/>
      </c>
      <c r="U175" s="106">
        <f t="shared" si="20"/>
      </c>
      <c r="V175" s="106">
        <f t="shared" si="17"/>
      </c>
    </row>
    <row r="176" spans="1:22" ht="60" x14ac:dyDescent="0.2">
      <c r="A176" s="4">
        <f>Questions!$A176</f>
      </c>
      <c r="B176" s="4">
        <f t="shared" si="18"/>
      </c>
      <c r="C176" s="4">
        <f>VLOOKUP($A176,Questions!$A$3:$L$333,2,0)&amp;""</f>
      </c>
      <c r="D176" s="4">
        <f>VLOOKUP($A176,Questions!$A$3:$L$333,11,0)&amp;""</f>
      </c>
      <c r="E176" s="4">
        <f>VLOOKUP($A176,Questions!$A$3:$L$333,12,0)&amp;""</f>
      </c>
      <c r="F176" s="4">
        <f>VLOOKUP($A176,'Institution Evaluation'!$A$56:$K$345,3,0)&amp;""</f>
      </c>
      <c r="G176" s="4">
        <f>VLOOKUP($A176,'Institution Evaluation'!$A$56:$K$345,7,0)&amp;""</f>
      </c>
      <c r="H176" s="4">
        <f>VLOOKUP($A176,'Institution Evaluation'!$A$56:$K$345,8,0)&amp;""</f>
      </c>
      <c r="I176" s="4">
        <f>VLOOKUP($A176,'Institution Evaluation'!$A$56:$K$345,9,0)&amp;""</f>
      </c>
      <c r="J176" s="4">
        <f>VLOOKUP($A176,'Institution Evaluation'!$A$56:$K$345,10,0)&amp;""</f>
      </c>
      <c r="K176" s="4">
        <f>IF($I176='Auto Responses'!$J$11,20,IF($I176='Auto Responses'!$J$13,5,10))</f>
      </c>
      <c r="L176" s="106">
        <f>IF($E176='Auto Responses'!$L$13, 'Auto Responses'!$J$5,IF(AND($D176='Auto Responses'!$J$27,$H176=""),'Auto Responses'!$J$5,IF(AND($D176='Auto Responses'!$J$27,$H176='Auto Responses'!$J$7),1,IF(AND($D176='Auto Responses'!$J$27,$H176='Auto Responses'!$J$8),0,IF(OR(AND($F176=$G176,$H176=""),$H176='Auto Responses'!$J$7),1,0)))))</f>
      </c>
      <c r="M176" s="4">
        <f>VLOOKUP($A176,'Institution Evaluation'!$A$56:$K$345,11,0)&amp;""</f>
      </c>
      <c r="N176" s="4">
        <f>IF($J176='Auto Responses'!$J$11,1,IF(AND($J176="",$I176='Auto Responses'!$J$11),1,0))</f>
      </c>
      <c r="O176" s="106">
        <f>IF(OR($E176='Auto Responses'!$L$13,$F176='Auto Responses'!$J$5),'Auto Responses'!$J$5,IF($J176="",$K176,IF($J176='Auto Responses'!$J$13,5,IF($J176='Auto Responses'!$J$12,10,IF($J176='Auto Responses'!$J$11,20,0)))))</f>
      </c>
      <c r="P176" s="106">
        <f>IF(OR($O176='Auto Responses'!$J$5,$L176='Auto Responses'!$J$5),'Auto Responses'!$J$5,$O176*$L176)</f>
      </c>
      <c r="Q176" s="106">
        <f t="shared" si="14"/>
      </c>
      <c r="R176" s="106">
        <f t="shared" si="19"/>
      </c>
      <c r="S176" s="106">
        <f t="shared" si="15"/>
      </c>
      <c r="T176" s="106">
        <f t="shared" si="16"/>
      </c>
      <c r="U176" s="106">
        <f t="shared" si="20"/>
      </c>
      <c r="V176" s="106">
        <f t="shared" si="17"/>
      </c>
    </row>
    <row r="177" spans="1:22" ht="60" x14ac:dyDescent="0.2">
      <c r="A177" s="4">
        <f>Questions!$A177</f>
      </c>
      <c r="B177" s="4">
        <f t="shared" si="18"/>
      </c>
      <c r="C177" s="4">
        <f>VLOOKUP($A177,Questions!$A$3:$L$333,2,0)&amp;""</f>
      </c>
      <c r="D177" s="4">
        <f>VLOOKUP($A177,Questions!$A$3:$L$333,11,0)&amp;""</f>
      </c>
      <c r="E177" s="4">
        <f>VLOOKUP($A177,Questions!$A$3:$L$333,12,0)&amp;""</f>
      </c>
      <c r="F177" s="4">
        <f>VLOOKUP($A177,'Institution Evaluation'!$A$56:$K$345,3,0)&amp;""</f>
      </c>
      <c r="G177" s="4">
        <f>VLOOKUP($A177,'Institution Evaluation'!$A$56:$K$345,7,0)&amp;""</f>
      </c>
      <c r="H177" s="4">
        <f>VLOOKUP($A177,'Institution Evaluation'!$A$56:$K$345,8,0)&amp;""</f>
      </c>
      <c r="I177" s="4">
        <f>VLOOKUP($A177,'Institution Evaluation'!$A$56:$K$345,9,0)&amp;""</f>
      </c>
      <c r="J177" s="4">
        <f>VLOOKUP($A177,'Institution Evaluation'!$A$56:$K$345,10,0)&amp;""</f>
      </c>
      <c r="K177" s="4">
        <f>IF($I177='Auto Responses'!$J$11,20,IF($I177='Auto Responses'!$J$13,5,10))</f>
      </c>
      <c r="L177" s="106">
        <f>IF($E177='Auto Responses'!$L$13, 'Auto Responses'!$J$5,IF(AND($D177='Auto Responses'!$J$27,$H177=""),'Auto Responses'!$J$5,IF(AND($D177='Auto Responses'!$J$27,$H177='Auto Responses'!$J$7),1,IF(AND($D177='Auto Responses'!$J$27,$H177='Auto Responses'!$J$8),0,IF(OR(AND($F177=$G177,$H177=""),$H177='Auto Responses'!$J$7),1,0)))))</f>
      </c>
      <c r="M177" s="4">
        <f>VLOOKUP($A177,'Institution Evaluation'!$A$56:$K$345,11,0)&amp;""</f>
      </c>
      <c r="N177" s="4">
        <f>IF($J177='Auto Responses'!$J$11,1,IF(AND($J177="",$I177='Auto Responses'!$J$11),1,0))</f>
      </c>
      <c r="O177" s="106">
        <f>IF(OR($F$17='Auto Responses'!$J$4,$E177='Auto Responses'!$L$13,$F177='Auto Responses'!$J$5),'Auto Responses'!$J$5,IF($J177="",$K177,IF($J177='Auto Responses'!$J$13,5,IF($J177='Auto Responses'!$J$12,10,IF($J177='Auto Responses'!$J$11,20,0)))))</f>
      </c>
      <c r="P177" s="106">
        <f>IF(OR($O177='Auto Responses'!$J$5,$L177='Auto Responses'!$J$5),'Auto Responses'!$J$5,$O177*$L177)</f>
      </c>
      <c r="Q177" s="106">
        <f t="shared" si="14"/>
      </c>
      <c r="R177" s="106">
        <f t="shared" si="19"/>
      </c>
      <c r="S177" s="106">
        <f t="shared" si="15"/>
      </c>
      <c r="T177" s="106">
        <f t="shared" si="16"/>
      </c>
      <c r="U177" s="106">
        <f t="shared" si="20"/>
      </c>
      <c r="V177" s="106">
        <f t="shared" si="17"/>
      </c>
    </row>
    <row r="178" spans="1:22" ht="60" x14ac:dyDescent="0.2">
      <c r="A178" s="4">
        <f>Questions!$A178</f>
      </c>
      <c r="B178" s="4">
        <f t="shared" si="18"/>
      </c>
      <c r="C178" s="4">
        <f>VLOOKUP($A178,Questions!$A$3:$L$333,2,0)&amp;""</f>
      </c>
      <c r="D178" s="4">
        <f>VLOOKUP($A178,Questions!$A$3:$L$333,11,0)&amp;""</f>
      </c>
      <c r="E178" s="4">
        <f>VLOOKUP($A178,Questions!$A$3:$L$333,12,0)&amp;""</f>
      </c>
      <c r="F178" s="4">
        <f>VLOOKUP($A178,'Institution Evaluation'!$A$56:$K$345,3,0)&amp;""</f>
      </c>
      <c r="G178" s="4">
        <f>VLOOKUP($A178,'Institution Evaluation'!$A$56:$K$345,7,0)&amp;""</f>
      </c>
      <c r="H178" s="4">
        <f>VLOOKUP($A178,'Institution Evaluation'!$A$56:$K$345,8,0)&amp;""</f>
      </c>
      <c r="I178" s="4">
        <f>VLOOKUP($A178,'Institution Evaluation'!$A$56:$K$345,9,0)&amp;""</f>
      </c>
      <c r="J178" s="4">
        <f>VLOOKUP($A178,'Institution Evaluation'!$A$56:$K$345,10,0)&amp;""</f>
      </c>
      <c r="K178" s="4">
        <f>IF($I178='Auto Responses'!$J$11,20,IF($I178='Auto Responses'!$J$13,5,10))</f>
      </c>
      <c r="L178" s="106">
        <f>IF($E178='Auto Responses'!$L$13, 'Auto Responses'!$J$5,IF(AND($D178='Auto Responses'!$J$27,$H178=""),'Auto Responses'!$J$5,IF(AND($D178='Auto Responses'!$J$27,$H178='Auto Responses'!$J$7),1,IF(AND($D178='Auto Responses'!$J$27,$H178='Auto Responses'!$J$8),0,IF(OR(AND($F178=$G178,$H178=""),$H178='Auto Responses'!$J$7),1,0)))))</f>
      </c>
      <c r="M178" s="4">
        <f>VLOOKUP($A178,'Institution Evaluation'!$A$56:$K$345,11,0)&amp;""</f>
      </c>
      <c r="N178" s="4">
        <f>IF($J178='Auto Responses'!$J$11,1,IF(AND($J178="",$I178='Auto Responses'!$J$11),1,0))</f>
      </c>
      <c r="O178" s="106">
        <f>IF(OR($F$17='Auto Responses'!$J$4,$E178='Auto Responses'!$L$13,$F178='Auto Responses'!$J$5),'Auto Responses'!$J$5,IF($J178="",$K178,IF($J178='Auto Responses'!$J$13,5,IF($J178='Auto Responses'!$J$12,10,IF($J178='Auto Responses'!$J$11,20,0)))))</f>
      </c>
      <c r="P178" s="106">
        <f>IF(OR($O178='Auto Responses'!$J$5,$L178='Auto Responses'!$J$5),'Auto Responses'!$J$5,$O178*$L178)</f>
      </c>
      <c r="Q178" s="106">
        <f t="shared" si="14"/>
      </c>
      <c r="R178" s="106">
        <f t="shared" si="19"/>
      </c>
      <c r="S178" s="106">
        <f t="shared" si="15"/>
      </c>
      <c r="T178" s="106">
        <f t="shared" si="16"/>
      </c>
      <c r="U178" s="106">
        <f t="shared" si="20"/>
      </c>
      <c r="V178" s="106">
        <f t="shared" si="17"/>
      </c>
    </row>
    <row r="179" spans="1:22" ht="60" x14ac:dyDescent="0.2">
      <c r="A179" s="4">
        <f>Questions!$A179</f>
      </c>
      <c r="B179" s="4">
        <f t="shared" si="18"/>
      </c>
      <c r="C179" s="4">
        <f>VLOOKUP($A179,Questions!$A$3:$L$333,2,0)&amp;""</f>
      </c>
      <c r="D179" s="4">
        <f>VLOOKUP($A179,Questions!$A$3:$L$333,11,0)&amp;""</f>
      </c>
      <c r="E179" s="4">
        <f>VLOOKUP($A179,Questions!$A$3:$L$333,12,0)&amp;""</f>
      </c>
      <c r="F179" s="4">
        <f>VLOOKUP($A179,'Institution Evaluation'!$A$56:$K$345,3,0)&amp;""</f>
      </c>
      <c r="G179" s="4">
        <f>VLOOKUP($A179,'Institution Evaluation'!$A$56:$K$345,7,0)&amp;""</f>
      </c>
      <c r="H179" s="4">
        <f>VLOOKUP($A179,'Institution Evaluation'!$A$56:$K$345,8,0)&amp;""</f>
      </c>
      <c r="I179" s="4">
        <f>VLOOKUP($A179,'Institution Evaluation'!$A$56:$K$345,9,0)&amp;""</f>
      </c>
      <c r="J179" s="4">
        <f>VLOOKUP($A179,'Institution Evaluation'!$A$56:$K$345,10,0)&amp;""</f>
      </c>
      <c r="K179" s="4">
        <f>IF($I179='Auto Responses'!$J$11,20,IF($I179='Auto Responses'!$J$13,5,10))</f>
      </c>
      <c r="L179" s="106">
        <f>IF($E179='Auto Responses'!$L$13, 'Auto Responses'!$J$5,IF(AND($D179='Auto Responses'!$J$27,$H179=""),'Auto Responses'!$J$5,IF(AND($D179='Auto Responses'!$J$27,$H179='Auto Responses'!$J$7),1,IF(AND($D179='Auto Responses'!$J$27,$H179='Auto Responses'!$J$8),0,IF(OR(AND($F179=$G179,$H179=""),$H179='Auto Responses'!$J$7),1,0)))))</f>
      </c>
      <c r="M179" s="4">
        <f>VLOOKUP($A179,'Institution Evaluation'!$A$56:$K$345,11,0)&amp;""</f>
      </c>
      <c r="N179" s="4">
        <f>IF($J179='Auto Responses'!$J$11,1,IF(AND($J179="",$I179='Auto Responses'!$J$11),1,0))</f>
      </c>
      <c r="O179" s="106">
        <f>IF(OR($F$17='Auto Responses'!$J$4,$E179='Auto Responses'!$L$13,$F179='Auto Responses'!$J$5),'Auto Responses'!$J$5,IF($J179="",$K179,IF($J179='Auto Responses'!$J$13,5,IF($J179='Auto Responses'!$J$12,10,IF($J179='Auto Responses'!$J$11,20,0)))))</f>
      </c>
      <c r="P179" s="106">
        <f>IF(OR($O179='Auto Responses'!$J$5,$L179='Auto Responses'!$J$5),'Auto Responses'!$J$5,$O179*$L179)</f>
      </c>
      <c r="Q179" s="106">
        <f t="shared" si="14"/>
      </c>
      <c r="R179" s="106">
        <f t="shared" si="19"/>
      </c>
      <c r="S179" s="106">
        <f t="shared" si="15"/>
      </c>
      <c r="T179" s="106">
        <f t="shared" si="16"/>
      </c>
      <c r="U179" s="106">
        <f t="shared" si="20"/>
      </c>
      <c r="V179" s="106">
        <f t="shared" si="17"/>
      </c>
    </row>
    <row r="180" spans="1:22" ht="60" x14ac:dyDescent="0.2">
      <c r="A180" s="4">
        <f>Questions!$A180</f>
      </c>
      <c r="B180" s="4">
        <f t="shared" si="18"/>
      </c>
      <c r="C180" s="4">
        <f>VLOOKUP($A180,Questions!$A$3:$L$333,2,0)&amp;""</f>
      </c>
      <c r="D180" s="4">
        <f>VLOOKUP($A180,Questions!$A$3:$L$333,11,0)&amp;""</f>
      </c>
      <c r="E180" s="4">
        <f>VLOOKUP($A180,Questions!$A$3:$L$333,12,0)&amp;""</f>
      </c>
      <c r="F180" s="4">
        <f>VLOOKUP($A180,'Institution Evaluation'!$A$56:$K$345,3,0)&amp;""</f>
      </c>
      <c r="G180" s="4">
        <f>VLOOKUP($A180,'Institution Evaluation'!$A$56:$K$345,7,0)&amp;""</f>
      </c>
      <c r="H180" s="4">
        <f>VLOOKUP($A180,'Institution Evaluation'!$A$56:$K$345,8,0)&amp;""</f>
      </c>
      <c r="I180" s="4">
        <f>VLOOKUP($A180,'Institution Evaluation'!$A$56:$K$345,9,0)&amp;""</f>
      </c>
      <c r="J180" s="4">
        <f>VLOOKUP($A180,'Institution Evaluation'!$A$56:$K$345,10,0)&amp;""</f>
      </c>
      <c r="K180" s="4">
        <f>IF($I180='Auto Responses'!$J$11,20,IF($I180='Auto Responses'!$J$13,5,10))</f>
      </c>
      <c r="L180" s="106">
        <f>IF($E180='Auto Responses'!$L$13, 'Auto Responses'!$J$5,IF(AND($D180='Auto Responses'!$J$27,$H180=""),'Auto Responses'!$J$5,IF(AND($D180='Auto Responses'!$J$27,$H180='Auto Responses'!$J$7),1,IF(AND($D180='Auto Responses'!$J$27,$H180='Auto Responses'!$J$8),0,IF(OR(AND($F180=$G180,$H180=""),$H180='Auto Responses'!$J$7),1,0)))))</f>
      </c>
      <c r="M180" s="4">
        <f>VLOOKUP($A180,'Institution Evaluation'!$A$56:$K$345,11,0)&amp;""</f>
      </c>
      <c r="N180" s="4">
        <f>IF($J180='Auto Responses'!$J$11,1,IF(AND($J180="",$I180='Auto Responses'!$J$11),1,0))</f>
      </c>
      <c r="O180" s="106">
        <f>IF(OR($F$17='Auto Responses'!$J$4,$E180='Auto Responses'!$L$13,$F180='Auto Responses'!$J$5),'Auto Responses'!$J$5,IF($J180="",$K180,IF($J180='Auto Responses'!$J$13,5,IF($J180='Auto Responses'!$J$12,10,IF($J180='Auto Responses'!$J$11,20,0)))))</f>
      </c>
      <c r="P180" s="106">
        <f>IF(OR($O180='Auto Responses'!$J$5,$L180='Auto Responses'!$J$5),'Auto Responses'!$J$5,$O180*$L180)</f>
      </c>
      <c r="Q180" s="106">
        <f t="shared" si="14"/>
      </c>
      <c r="R180" s="106">
        <f t="shared" si="19"/>
      </c>
      <c r="S180" s="106">
        <f t="shared" si="15"/>
      </c>
      <c r="T180" s="106">
        <f t="shared" si="16"/>
      </c>
      <c r="U180" s="106">
        <f t="shared" si="20"/>
      </c>
      <c r="V180" s="106">
        <f t="shared" si="17"/>
      </c>
    </row>
    <row r="181" spans="1:22" ht="60" x14ac:dyDescent="0.2">
      <c r="A181" s="4">
        <f>Questions!$A181</f>
      </c>
      <c r="B181" s="4">
        <f t="shared" si="18"/>
      </c>
      <c r="C181" s="4">
        <f>VLOOKUP($A181,Questions!$A$3:$L$333,2,0)&amp;""</f>
      </c>
      <c r="D181" s="4">
        <f>VLOOKUP($A181,Questions!$A$3:$L$333,11,0)&amp;""</f>
      </c>
      <c r="E181" s="4">
        <f>VLOOKUP($A181,Questions!$A$3:$L$333,12,0)&amp;""</f>
      </c>
      <c r="F181" s="4">
        <f>VLOOKUP($A181,'Institution Evaluation'!$A$56:$K$345,3,0)&amp;""</f>
      </c>
      <c r="G181" s="4">
        <f>VLOOKUP($A181,'Institution Evaluation'!$A$56:$K$345,7,0)&amp;""</f>
      </c>
      <c r="H181" s="4">
        <f>VLOOKUP($A181,'Institution Evaluation'!$A$56:$K$345,8,0)&amp;""</f>
      </c>
      <c r="I181" s="4">
        <f>VLOOKUP($A181,'Institution Evaluation'!$A$56:$K$345,9,0)&amp;""</f>
      </c>
      <c r="J181" s="4">
        <f>VLOOKUP($A181,'Institution Evaluation'!$A$56:$K$345,10,0)&amp;""</f>
      </c>
      <c r="K181" s="4">
        <f>IF($I181='Auto Responses'!$J$11,20,IF($I181='Auto Responses'!$J$13,5,10))</f>
      </c>
      <c r="L181" s="106">
        <f>IF($E181='Auto Responses'!$L$13, 'Auto Responses'!$J$5,IF(AND($D181='Auto Responses'!$J$27,$H181=""),'Auto Responses'!$J$5,IF(AND($D181='Auto Responses'!$J$27,$H181='Auto Responses'!$J$7),1,IF(AND($D181='Auto Responses'!$J$27,$H181='Auto Responses'!$J$8),0,IF(OR(AND($F181=$G181,$H181=""),$H181='Auto Responses'!$J$7),1,0)))))</f>
      </c>
      <c r="M181" s="4">
        <f>VLOOKUP($A181,'Institution Evaluation'!$A$56:$K$345,11,0)&amp;""</f>
      </c>
      <c r="N181" s="4">
        <f>IF($J181='Auto Responses'!$J$11,1,IF(AND($J181="",$I181='Auto Responses'!$J$11),1,0))</f>
      </c>
      <c r="O181" s="106">
        <f>IF(OR($F$17='Auto Responses'!$J$4,$E181='Auto Responses'!$L$13,$F181='Auto Responses'!$J$5),'Auto Responses'!$J$5,IF($J181="",$K181,IF($J181='Auto Responses'!$J$13,5,IF($J181='Auto Responses'!$J$12,10,IF($J181='Auto Responses'!$J$11,20,0)))))</f>
      </c>
      <c r="P181" s="106">
        <f>IF(OR($O181='Auto Responses'!$J$5,$L181='Auto Responses'!$J$5),'Auto Responses'!$J$5,$O181*$L181)</f>
      </c>
      <c r="Q181" s="106">
        <f t="shared" si="14"/>
      </c>
      <c r="R181" s="106">
        <f t="shared" si="19"/>
      </c>
      <c r="S181" s="106">
        <f t="shared" si="15"/>
      </c>
      <c r="T181" s="106">
        <f t="shared" si="16"/>
      </c>
      <c r="U181" s="106">
        <f t="shared" si="20"/>
      </c>
      <c r="V181" s="106">
        <f t="shared" si="17"/>
      </c>
    </row>
    <row r="182" spans="1:22" ht="60" x14ac:dyDescent="0.2">
      <c r="A182" s="4">
        <f>Questions!$A182</f>
      </c>
      <c r="B182" s="4">
        <f t="shared" si="18"/>
      </c>
      <c r="C182" s="4">
        <f>VLOOKUP($A182,Questions!$A$3:$L$333,2,0)&amp;""</f>
      </c>
      <c r="D182" s="4">
        <f>VLOOKUP($A182,Questions!$A$3:$L$333,11,0)&amp;""</f>
      </c>
      <c r="E182" s="4">
        <f>VLOOKUP($A182,Questions!$A$3:$L$333,12,0)&amp;""</f>
      </c>
      <c r="F182" s="4">
        <f>VLOOKUP($A182,'Institution Evaluation'!$A$56:$K$345,3,0)&amp;""</f>
      </c>
      <c r="G182" s="4">
        <f>VLOOKUP($A182,'Institution Evaluation'!$A$56:$K$345,7,0)&amp;""</f>
      </c>
      <c r="H182" s="4">
        <f>VLOOKUP($A182,'Institution Evaluation'!$A$56:$K$345,8,0)&amp;""</f>
      </c>
      <c r="I182" s="4">
        <f>VLOOKUP($A182,'Institution Evaluation'!$A$56:$K$345,9,0)&amp;""</f>
      </c>
      <c r="J182" s="4">
        <f>VLOOKUP($A182,'Institution Evaluation'!$A$56:$K$345,10,0)&amp;""</f>
      </c>
      <c r="K182" s="4">
        <f>IF($I182='Auto Responses'!$J$11,20,IF($I182='Auto Responses'!$J$13,5,10))</f>
      </c>
      <c r="L182" s="106">
        <f>IF($E182='Auto Responses'!$L$13, 'Auto Responses'!$J$5,IF(AND($D182='Auto Responses'!$J$27,$H182=""),'Auto Responses'!$J$5,IF(AND($D182='Auto Responses'!$J$27,$H182='Auto Responses'!$J$7),1,IF(AND($D182='Auto Responses'!$J$27,$H182='Auto Responses'!$J$8),0,IF(OR(AND($F182=$G182,$H182=""),$H182='Auto Responses'!$J$7),1,0)))))</f>
      </c>
      <c r="M182" s="4">
        <f>VLOOKUP($A182,'Institution Evaluation'!$A$56:$K$345,11,0)&amp;""</f>
      </c>
      <c r="N182" s="4">
        <f>IF($J182='Auto Responses'!$J$11,1,IF(AND($J182="",$I182='Auto Responses'!$J$11),1,0))</f>
      </c>
      <c r="O182" s="106">
        <f>IF(OR($F$17='Auto Responses'!$J$4,$E182='Auto Responses'!$L$13,$F182='Auto Responses'!$J$5),'Auto Responses'!$J$5,IF($J182="",$K182,IF($J182='Auto Responses'!$J$13,5,IF($J182='Auto Responses'!$J$12,10,IF($J182='Auto Responses'!$J$11,20,0)))))</f>
      </c>
      <c r="P182" s="106">
        <f>IF(OR($O182='Auto Responses'!$J$5,$L182='Auto Responses'!$J$5),'Auto Responses'!$J$5,$O182*$L182)</f>
      </c>
      <c r="Q182" s="106">
        <f t="shared" si="14"/>
      </c>
      <c r="R182" s="106">
        <f t="shared" si="19"/>
      </c>
      <c r="S182" s="106">
        <f t="shared" si="15"/>
      </c>
      <c r="T182" s="106">
        <f t="shared" si="16"/>
      </c>
      <c r="U182" s="106">
        <f t="shared" si="20"/>
      </c>
      <c r="V182" s="106">
        <f t="shared" si="17"/>
      </c>
    </row>
    <row r="183" spans="1:22" ht="60" x14ac:dyDescent="0.2">
      <c r="A183" s="4">
        <f>Questions!$A183</f>
      </c>
      <c r="B183" s="4">
        <f t="shared" si="18"/>
      </c>
      <c r="C183" s="4">
        <f>VLOOKUP($A183,Questions!$A$3:$L$333,2,0)&amp;""</f>
      </c>
      <c r="D183" s="4">
        <f>VLOOKUP($A183,Questions!$A$3:$L$333,11,0)&amp;""</f>
      </c>
      <c r="E183" s="4">
        <f>VLOOKUP($A183,Questions!$A$3:$L$333,12,0)&amp;""</f>
      </c>
      <c r="F183" s="4">
        <f>VLOOKUP($A183,'Institution Evaluation'!$A$56:$K$345,3,0)&amp;""</f>
      </c>
      <c r="G183" s="4">
        <f>VLOOKUP($A183,'Institution Evaluation'!$A$56:$K$345,7,0)&amp;""</f>
      </c>
      <c r="H183" s="4">
        <f>VLOOKUP($A183,'Institution Evaluation'!$A$56:$K$345,8,0)&amp;""</f>
      </c>
      <c r="I183" s="4">
        <f>VLOOKUP($A183,'Institution Evaluation'!$A$56:$K$345,9,0)&amp;""</f>
      </c>
      <c r="J183" s="4">
        <f>VLOOKUP($A183,'Institution Evaluation'!$A$56:$K$345,10,0)&amp;""</f>
      </c>
      <c r="K183" s="4">
        <f>IF($I183='Auto Responses'!$J$11,20,IF($I183='Auto Responses'!$J$13,5,10))</f>
      </c>
      <c r="L183" s="106">
        <f>IF($E183='Auto Responses'!$L$13, 'Auto Responses'!$J$5,IF(AND($D183='Auto Responses'!$J$27,$H183=""),'Auto Responses'!$J$5,IF(AND($D183='Auto Responses'!$J$27,$H183='Auto Responses'!$J$7),1,IF(AND($D183='Auto Responses'!$J$27,$H183='Auto Responses'!$J$8),0,IF(OR(AND($F183=$G183,$H183=""),$H183='Auto Responses'!$J$7),1,0)))))</f>
      </c>
      <c r="M183" s="4">
        <f>VLOOKUP($A183,'Institution Evaluation'!$A$56:$K$345,11,0)&amp;""</f>
      </c>
      <c r="N183" s="4">
        <f>IF($J183='Auto Responses'!$J$11,1,IF(AND($J183="",$I183='Auto Responses'!$J$11),1,0))</f>
      </c>
      <c r="O183" s="106">
        <f>IF(OR($F$17='Auto Responses'!$J$4,$E183='Auto Responses'!$L$13,$F183='Auto Responses'!$J$5),'Auto Responses'!$J$5,IF($J183="",$K183,IF($J183='Auto Responses'!$J$13,5,IF($J183='Auto Responses'!$J$12,10,IF($J183='Auto Responses'!$J$11,20,0)))))</f>
      </c>
      <c r="P183" s="106">
        <f>IF(OR($O183='Auto Responses'!$J$5,$L183='Auto Responses'!$J$5),'Auto Responses'!$J$5,$O183*$L183)</f>
      </c>
      <c r="Q183" s="106">
        <f t="shared" si="14"/>
      </c>
      <c r="R183" s="106">
        <f t="shared" si="19"/>
      </c>
      <c r="S183" s="106">
        <f t="shared" si="15"/>
      </c>
      <c r="T183" s="106">
        <f t="shared" si="16"/>
      </c>
      <c r="U183" s="106">
        <f t="shared" si="20"/>
      </c>
      <c r="V183" s="106">
        <f t="shared" si="17"/>
      </c>
    </row>
    <row r="184" spans="1:22" ht="60" x14ac:dyDescent="0.2">
      <c r="A184" s="4">
        <f>Questions!$A184</f>
      </c>
      <c r="B184" s="4">
        <f t="shared" si="18"/>
      </c>
      <c r="C184" s="4">
        <f>VLOOKUP($A184,Questions!$A$3:$L$333,2,0)&amp;""</f>
      </c>
      <c r="D184" s="4">
        <f>VLOOKUP($A184,Questions!$A$3:$L$333,11,0)&amp;""</f>
      </c>
      <c r="E184" s="4">
        <f>VLOOKUP($A184,Questions!$A$3:$L$333,12,0)&amp;""</f>
      </c>
      <c r="F184" s="4">
        <f>VLOOKUP($A184,'Institution Evaluation'!$A$56:$K$345,3,0)&amp;""</f>
      </c>
      <c r="G184" s="4">
        <f>VLOOKUP($A184,'Institution Evaluation'!$A$56:$K$345,7,0)&amp;""</f>
      </c>
      <c r="H184" s="4">
        <f>VLOOKUP($A184,'Institution Evaluation'!$A$56:$K$345,8,0)&amp;""</f>
      </c>
      <c r="I184" s="4">
        <f>VLOOKUP($A184,'Institution Evaluation'!$A$56:$K$345,9,0)&amp;""</f>
      </c>
      <c r="J184" s="4">
        <f>VLOOKUP($A184,'Institution Evaluation'!$A$56:$K$345,10,0)&amp;""</f>
      </c>
      <c r="K184" s="4">
        <f>IF($I184='Auto Responses'!$J$11,20,IF($I184='Auto Responses'!$J$13,5,10))</f>
      </c>
      <c r="L184" s="106">
        <f>IF($E184='Auto Responses'!$L$13, 'Auto Responses'!$J$5,IF(AND($D184='Auto Responses'!$J$27,$H184=""),'Auto Responses'!$J$5,IF(AND($D184='Auto Responses'!$J$27,$H184='Auto Responses'!$J$7),1,IF(AND($D184='Auto Responses'!$J$27,$H184='Auto Responses'!$J$8),0,IF(OR(AND($F184=$G184,$H184=""),$H184='Auto Responses'!$J$7),1,0)))))</f>
      </c>
      <c r="M184" s="4">
        <f>VLOOKUP($A184,'Institution Evaluation'!$A$56:$K$345,11,0)&amp;""</f>
      </c>
      <c r="N184" s="4">
        <f>IF($J184='Auto Responses'!$J$11,1,IF(AND($J184="",$I184='Auto Responses'!$J$11),1,0))</f>
      </c>
      <c r="O184" s="106">
        <f>IF(OR($F$17='Auto Responses'!$J$4,$E184='Auto Responses'!$L$13,$F184='Auto Responses'!$J$5),'Auto Responses'!$J$5,IF($J184="",$K184,IF($J184='Auto Responses'!$J$13,5,IF($J184='Auto Responses'!$J$12,10,IF($J184='Auto Responses'!$J$11,20,0)))))</f>
      </c>
      <c r="P184" s="106">
        <f>IF(OR($O184='Auto Responses'!$J$5,$L184='Auto Responses'!$J$5),'Auto Responses'!$J$5,$O184*$L184)</f>
      </c>
      <c r="Q184" s="106">
        <f t="shared" si="14"/>
      </c>
      <c r="R184" s="106">
        <f t="shared" si="19"/>
      </c>
      <c r="S184" s="106">
        <f t="shared" si="15"/>
      </c>
      <c r="T184" s="106">
        <f t="shared" si="16"/>
      </c>
      <c r="U184" s="106">
        <f t="shared" si="20"/>
      </c>
      <c r="V184" s="106">
        <f t="shared" si="17"/>
      </c>
    </row>
    <row r="185" spans="1:22" ht="60" x14ac:dyDescent="0.2">
      <c r="A185" s="4">
        <f>Questions!$A185</f>
      </c>
      <c r="B185" s="4">
        <f t="shared" si="18"/>
      </c>
      <c r="C185" s="4">
        <f>VLOOKUP($A185,Questions!$A$3:$L$333,2,0)&amp;""</f>
      </c>
      <c r="D185" s="4">
        <f>VLOOKUP($A185,Questions!$A$3:$L$333,11,0)&amp;""</f>
      </c>
      <c r="E185" s="4">
        <f>VLOOKUP($A185,Questions!$A$3:$L$333,12,0)&amp;""</f>
      </c>
      <c r="F185" s="4">
        <f>VLOOKUP($A185,'Institution Evaluation'!$A$56:$K$345,3,0)&amp;""</f>
      </c>
      <c r="G185" s="4">
        <f>VLOOKUP($A185,'Institution Evaluation'!$A$56:$K$345,7,0)&amp;""</f>
      </c>
      <c r="H185" s="4">
        <f>VLOOKUP($A185,'Institution Evaluation'!$A$56:$K$345,8,0)&amp;""</f>
      </c>
      <c r="I185" s="4">
        <f>VLOOKUP($A185,'Institution Evaluation'!$A$56:$K$345,9,0)&amp;""</f>
      </c>
      <c r="J185" s="4">
        <f>VLOOKUP($A185,'Institution Evaluation'!$A$56:$K$345,10,0)&amp;""</f>
      </c>
      <c r="K185" s="4">
        <f>IF($I185='Auto Responses'!$J$11,20,IF($I185='Auto Responses'!$J$13,5,10))</f>
      </c>
      <c r="L185" s="106">
        <f>IF($E185='Auto Responses'!$L$13, 'Auto Responses'!$J$5,IF(AND($D185='Auto Responses'!$J$27,$H185=""),'Auto Responses'!$J$5,IF(AND($D185='Auto Responses'!$J$27,$H185='Auto Responses'!$J$7),1,IF(AND($D185='Auto Responses'!$J$27,$H185='Auto Responses'!$J$8),0,IF(OR(AND($F185=$G185,$H185=""),$H185='Auto Responses'!$J$7),1,0)))))</f>
      </c>
      <c r="M185" s="4">
        <f>VLOOKUP($A185,'Institution Evaluation'!$A$56:$K$345,11,0)&amp;""</f>
      </c>
      <c r="N185" s="4">
        <f>IF($J185='Auto Responses'!$J$11,1,IF(AND($J185="",$I185='Auto Responses'!$J$11),1,0))</f>
      </c>
      <c r="O185" s="106">
        <f>IF(OR($F$17='Auto Responses'!$J$4,$E185='Auto Responses'!$L$13,$F185='Auto Responses'!$J$5),'Auto Responses'!$J$5,IF($J185="",$K185,IF($J185='Auto Responses'!$J$13,5,IF($J185='Auto Responses'!$J$12,10,IF($J185='Auto Responses'!$J$11,20,0)))))</f>
      </c>
      <c r="P185" s="106">
        <f>IF(OR($O185='Auto Responses'!$J$5,$L185='Auto Responses'!$J$5),'Auto Responses'!$J$5,$O185*$L185)</f>
      </c>
      <c r="Q185" s="106">
        <f t="shared" si="14"/>
      </c>
      <c r="R185" s="106">
        <f t="shared" si="19"/>
      </c>
      <c r="S185" s="106">
        <f t="shared" si="15"/>
      </c>
      <c r="T185" s="106">
        <f t="shared" si="16"/>
      </c>
      <c r="U185" s="106">
        <f t="shared" si="20"/>
      </c>
      <c r="V185" s="106">
        <f t="shared" si="17"/>
      </c>
    </row>
    <row r="186" spans="1:22" ht="60" x14ac:dyDescent="0.2">
      <c r="A186" s="4">
        <f>Questions!$A186</f>
      </c>
      <c r="B186" s="4">
        <f t="shared" si="18"/>
      </c>
      <c r="C186" s="4">
        <f>VLOOKUP($A186,Questions!$A$3:$L$333,2,0)&amp;""</f>
      </c>
      <c r="D186" s="4">
        <f>VLOOKUP($A186,Questions!$A$3:$L$333,11,0)&amp;""</f>
      </c>
      <c r="E186" s="4">
        <f>VLOOKUP($A186,Questions!$A$3:$L$333,12,0)&amp;""</f>
      </c>
      <c r="F186" s="4">
        <f>VLOOKUP($A186,'Institution Evaluation'!$A$56:$K$345,3,0)&amp;""</f>
      </c>
      <c r="G186" s="4">
        <f>VLOOKUP($A186,'Institution Evaluation'!$A$56:$K$345,7,0)&amp;""</f>
      </c>
      <c r="H186" s="4">
        <f>VLOOKUP($A186,'Institution Evaluation'!$A$56:$K$345,8,0)&amp;""</f>
      </c>
      <c r="I186" s="4">
        <f>VLOOKUP($A186,'Institution Evaluation'!$A$56:$K$345,9,0)&amp;""</f>
      </c>
      <c r="J186" s="4">
        <f>VLOOKUP($A186,'Institution Evaluation'!$A$56:$K$345,10,0)&amp;""</f>
      </c>
      <c r="K186" s="4">
        <f>IF($I186='Auto Responses'!$J$11,20,IF($I186='Auto Responses'!$J$13,5,10))</f>
      </c>
      <c r="L186" s="106">
        <f>IF($E186='Auto Responses'!$L$13, 'Auto Responses'!$J$5,IF(AND($D186='Auto Responses'!$J$27,$H186=""),'Auto Responses'!$J$5,IF(AND($D186='Auto Responses'!$J$27,$H186='Auto Responses'!$J$7),1,IF(AND($D186='Auto Responses'!$J$27,$H186='Auto Responses'!$J$8),0,IF(OR(AND($F186=$G186,$H186=""),$H186='Auto Responses'!$J$7),1,0)))))</f>
      </c>
      <c r="M186" s="4">
        <f>VLOOKUP($A186,'Institution Evaluation'!$A$56:$K$345,11,0)&amp;""</f>
      </c>
      <c r="N186" s="4">
        <f>IF($J186='Auto Responses'!$J$11,1,IF(AND($J186="",$I186='Auto Responses'!$J$11),1,0))</f>
      </c>
      <c r="O186" s="106">
        <f>IF(OR($F$17='Auto Responses'!$J$4,$E186='Auto Responses'!$L$13,$F186='Auto Responses'!$J$5),'Auto Responses'!$J$5,IF($J186="",$K186,IF($J186='Auto Responses'!$J$13,5,IF($J186='Auto Responses'!$J$12,10,IF($J186='Auto Responses'!$J$11,20,0)))))</f>
      </c>
      <c r="P186" s="106">
        <f>IF(OR($O186='Auto Responses'!$J$5,$L186='Auto Responses'!$J$5),'Auto Responses'!$J$5,$O186*$L186)</f>
      </c>
      <c r="Q186" s="106">
        <f t="shared" si="14"/>
      </c>
      <c r="R186" s="106">
        <f t="shared" si="19"/>
      </c>
      <c r="S186" s="106">
        <f t="shared" si="15"/>
      </c>
      <c r="T186" s="106">
        <f t="shared" si="16"/>
      </c>
      <c r="U186" s="106">
        <f t="shared" si="20"/>
      </c>
      <c r="V186" s="106">
        <f t="shared" si="17"/>
      </c>
    </row>
    <row r="187" spans="1:22" ht="60" x14ac:dyDescent="0.2">
      <c r="A187" s="4">
        <f>Questions!$A187</f>
      </c>
      <c r="B187" s="4">
        <f t="shared" si="18"/>
      </c>
      <c r="C187" s="4">
        <f>VLOOKUP($A187,Questions!$A$3:$L$333,2,0)&amp;""</f>
      </c>
      <c r="D187" s="4">
        <f>VLOOKUP($A187,Questions!$A$3:$L$333,11,0)&amp;""</f>
      </c>
      <c r="E187" s="4">
        <f>VLOOKUP($A187,Questions!$A$3:$L$333,12,0)&amp;""</f>
      </c>
      <c r="F187" s="4">
        <f>VLOOKUP($A187,'Institution Evaluation'!$A$56:$K$345,3,0)&amp;""</f>
      </c>
      <c r="G187" s="4">
        <f>VLOOKUP($A187,'Institution Evaluation'!$A$56:$K$345,7,0)&amp;""</f>
      </c>
      <c r="H187" s="4">
        <f>VLOOKUP($A187,'Institution Evaluation'!$A$56:$K$345,8,0)&amp;""</f>
      </c>
      <c r="I187" s="4">
        <f>VLOOKUP($A187,'Institution Evaluation'!$A$56:$K$345,9,0)&amp;""</f>
      </c>
      <c r="J187" s="4">
        <f>VLOOKUP($A187,'Institution Evaluation'!$A$56:$K$345,10,0)&amp;""</f>
      </c>
      <c r="K187" s="4">
        <f>IF($I187='Auto Responses'!$J$11,20,IF($I187='Auto Responses'!$J$13,5,10))</f>
      </c>
      <c r="L187" s="106">
        <f>IF($E187='Auto Responses'!$L$13, 'Auto Responses'!$J$5,IF(AND($D187='Auto Responses'!$J$27,$H187=""),'Auto Responses'!$J$5,IF(AND($D187='Auto Responses'!$J$27,$H187='Auto Responses'!$J$7),1,IF(AND($D187='Auto Responses'!$J$27,$H187='Auto Responses'!$J$8),0,IF(OR(AND($F187=$G187,$H187=""),$H187='Auto Responses'!$J$7),1,0)))))</f>
      </c>
      <c r="M187" s="4">
        <f>VLOOKUP($A187,'Institution Evaluation'!$A$56:$K$345,11,0)&amp;""</f>
      </c>
      <c r="N187" s="4">
        <f>IF($J187='Auto Responses'!$J$11,1,IF(AND($J187="",$I187='Auto Responses'!$J$11),1,0))</f>
      </c>
      <c r="O187" s="106">
        <f>IF(OR($F$21='Auto Responses'!$J$4,$E187='Auto Responses'!$L$13,$F187='Auto Responses'!$J$5),'Auto Responses'!$J$5,IF($J187="",$K187,IF($J187='Auto Responses'!$J$13,5,IF($J187='Auto Responses'!$J$12,10,IF($J187='Auto Responses'!$J$11,20,0)))))</f>
      </c>
      <c r="P187" s="106">
        <f>IF(OR($O187='Auto Responses'!$J$5,$L187='Auto Responses'!$J$5),'Auto Responses'!$J$5,$O187*$L187)</f>
      </c>
      <c r="Q187" s="106">
        <f t="shared" si="14"/>
      </c>
      <c r="R187" s="106">
        <f t="shared" si="19"/>
      </c>
      <c r="S187" s="106">
        <f t="shared" si="15"/>
      </c>
      <c r="T187" s="106">
        <f t="shared" si="16"/>
      </c>
      <c r="U187" s="106">
        <f t="shared" si="20"/>
      </c>
      <c r="V187" s="106">
        <f t="shared" si="17"/>
      </c>
    </row>
    <row r="188" spans="1:22" ht="60" x14ac:dyDescent="0.2">
      <c r="A188" s="4">
        <f>Questions!$A188</f>
      </c>
      <c r="B188" s="4">
        <f t="shared" si="18"/>
      </c>
      <c r="C188" s="4">
        <f>VLOOKUP($A188,Questions!$A$3:$L$333,2,0)&amp;""</f>
      </c>
      <c r="D188" s="4">
        <f>VLOOKUP($A188,Questions!$A$3:$L$333,11,0)&amp;""</f>
      </c>
      <c r="E188" s="4">
        <f>VLOOKUP($A188,Questions!$A$3:$L$333,12,0)&amp;""</f>
      </c>
      <c r="F188" s="4">
        <f>VLOOKUP($A188,'Institution Evaluation'!$A$56:$K$345,3,0)&amp;""</f>
      </c>
      <c r="G188" s="4">
        <f>VLOOKUP($A188,'Institution Evaluation'!$A$56:$K$345,7,0)&amp;""</f>
      </c>
      <c r="H188" s="4">
        <f>VLOOKUP($A188,'Institution Evaluation'!$A$56:$K$345,8,0)&amp;""</f>
      </c>
      <c r="I188" s="4">
        <f>VLOOKUP($A188,'Institution Evaluation'!$A$56:$K$345,9,0)&amp;""</f>
      </c>
      <c r="J188" s="4">
        <f>VLOOKUP($A188,'Institution Evaluation'!$A$56:$K$345,10,0)&amp;""</f>
      </c>
      <c r="K188" s="4">
        <f>IF($I188='Auto Responses'!$J$11,20,IF($I188='Auto Responses'!$J$13,5,10))</f>
      </c>
      <c r="L188" s="106">
        <f>IF($E188='Auto Responses'!$L$13, 'Auto Responses'!$J$5,IF(AND($D188='Auto Responses'!$J$27,$H188=""),'Auto Responses'!$J$5,IF(AND($D188='Auto Responses'!$J$27,$H188='Auto Responses'!$J$7),1,IF(AND($D188='Auto Responses'!$J$27,$H188='Auto Responses'!$J$8),0,IF(OR(AND($F188=$G188,$H188=""),$H188='Auto Responses'!$J$7),1,0)))))</f>
      </c>
      <c r="M188" s="4">
        <f>VLOOKUP($A188,'Institution Evaluation'!$A$56:$K$345,11,0)&amp;""</f>
      </c>
      <c r="N188" s="4">
        <f>IF($J188='Auto Responses'!$J$11,1,IF(AND($J188="",$I188='Auto Responses'!$J$11),1,0))</f>
      </c>
      <c r="O188" s="106">
        <f>IF(OR($F$21='Auto Responses'!$J$4,$E188='Auto Responses'!$L$13,$F188='Auto Responses'!$J$5),'Auto Responses'!$J$5,IF($J188="",$K188,IF($J188='Auto Responses'!$J$13,5,IF($J188='Auto Responses'!$J$12,10,IF($J188='Auto Responses'!$J$11,20,0)))))</f>
      </c>
      <c r="P188" s="106">
        <f>IF(OR($O188='Auto Responses'!$J$5,$L188='Auto Responses'!$J$5),'Auto Responses'!$J$5,$O188*$L188)</f>
      </c>
      <c r="Q188" s="106">
        <f t="shared" si="14"/>
      </c>
      <c r="R188" s="106">
        <f t="shared" si="19"/>
      </c>
      <c r="S188" s="106">
        <f t="shared" si="15"/>
      </c>
      <c r="T188" s="106">
        <f t="shared" si="16"/>
      </c>
      <c r="U188" s="106">
        <f t="shared" si="20"/>
      </c>
      <c r="V188" s="106">
        <f t="shared" si="17"/>
      </c>
    </row>
    <row r="189" spans="1:22" ht="60" x14ac:dyDescent="0.2">
      <c r="A189" s="4">
        <f>Questions!$A189</f>
      </c>
      <c r="B189" s="4">
        <f t="shared" si="18"/>
      </c>
      <c r="C189" s="4">
        <f>VLOOKUP($A189,Questions!$A$3:$L$333,2,0)&amp;""</f>
      </c>
      <c r="D189" s="4">
        <f>VLOOKUP($A189,Questions!$A$3:$L$333,11,0)&amp;""</f>
      </c>
      <c r="E189" s="4">
        <f>VLOOKUP($A189,Questions!$A$3:$L$333,12,0)&amp;""</f>
      </c>
      <c r="F189" s="4">
        <f>VLOOKUP($A189,'Institution Evaluation'!$A$56:$K$345,3,0)&amp;""</f>
      </c>
      <c r="G189" s="4">
        <f>VLOOKUP($A189,'Institution Evaluation'!$A$56:$K$345,7,0)&amp;""</f>
      </c>
      <c r="H189" s="4">
        <f>VLOOKUP($A189,'Institution Evaluation'!$A$56:$K$345,8,0)&amp;""</f>
      </c>
      <c r="I189" s="4">
        <f>VLOOKUP($A189,'Institution Evaluation'!$A$56:$K$345,9,0)&amp;""</f>
      </c>
      <c r="J189" s="4">
        <f>VLOOKUP($A189,'Institution Evaluation'!$A$56:$K$345,10,0)&amp;""</f>
      </c>
      <c r="K189" s="4">
        <f>IF($I189='Auto Responses'!$J$11,20,IF($I189='Auto Responses'!$J$13,5,10))</f>
      </c>
      <c r="L189" s="106">
        <f>IF($E189='Auto Responses'!$L$13, 'Auto Responses'!$J$5,IF(AND($D189='Auto Responses'!$J$27,$H189=""),'Auto Responses'!$J$5,IF(AND($D189='Auto Responses'!$J$27,$H189='Auto Responses'!$J$7),1,IF(AND($D189='Auto Responses'!$J$27,$H189='Auto Responses'!$J$8),0,IF(OR(AND($F189=$G189,$H189=""),$H189='Auto Responses'!$J$7),1,0)))))</f>
      </c>
      <c r="M189" s="4">
        <f>VLOOKUP($A189,'Institution Evaluation'!$A$56:$K$345,11,0)&amp;""</f>
      </c>
      <c r="N189" s="4">
        <f>IF($J189='Auto Responses'!$J$11,1,IF(AND($J189="",$I189='Auto Responses'!$J$11),1,0))</f>
      </c>
      <c r="O189" s="106">
        <f>IF(OR($F$21='Auto Responses'!$J$4,$E189='Auto Responses'!$L$13,$F189='Auto Responses'!$J$5),'Auto Responses'!$J$5,IF($J189="",$K189,IF($J189='Auto Responses'!$J$13,5,IF($J189='Auto Responses'!$J$12,10,IF($J189='Auto Responses'!$J$11,20,0)))))</f>
      </c>
      <c r="P189" s="106">
        <f>IF(OR($O189='Auto Responses'!$J$5,$L189='Auto Responses'!$J$5),'Auto Responses'!$J$5,$O189*$L189)</f>
      </c>
      <c r="Q189" s="106">
        <f t="shared" si="14"/>
      </c>
      <c r="R189" s="106">
        <f t="shared" si="19"/>
      </c>
      <c r="S189" s="106">
        <f t="shared" si="15"/>
      </c>
      <c r="T189" s="106">
        <f t="shared" si="16"/>
      </c>
      <c r="U189" s="106">
        <f t="shared" si="20"/>
      </c>
      <c r="V189" s="106">
        <f t="shared" si="17"/>
      </c>
    </row>
    <row r="190" spans="1:22" ht="60" x14ac:dyDescent="0.2">
      <c r="A190" s="4">
        <f>Questions!$A190</f>
      </c>
      <c r="B190" s="4">
        <f t="shared" si="18"/>
      </c>
      <c r="C190" s="4">
        <f>VLOOKUP($A190,Questions!$A$3:$L$333,2,0)&amp;""</f>
      </c>
      <c r="D190" s="4">
        <f>VLOOKUP($A190,Questions!$A$3:$L$333,11,0)&amp;""</f>
      </c>
      <c r="E190" s="4">
        <f>VLOOKUP($A190,Questions!$A$3:$L$333,12,0)&amp;""</f>
      </c>
      <c r="F190" s="4">
        <f>VLOOKUP($A190,'Institution Evaluation'!$A$56:$K$345,3,0)&amp;""</f>
      </c>
      <c r="G190" s="4">
        <f>VLOOKUP($A190,'Institution Evaluation'!$A$56:$K$345,7,0)&amp;""</f>
      </c>
      <c r="H190" s="4">
        <f>VLOOKUP($A190,'Institution Evaluation'!$A$56:$K$345,8,0)&amp;""</f>
      </c>
      <c r="I190" s="4">
        <f>VLOOKUP($A190,'Institution Evaluation'!$A$56:$K$345,9,0)&amp;""</f>
      </c>
      <c r="J190" s="4">
        <f>VLOOKUP($A190,'Institution Evaluation'!$A$56:$K$345,10,0)&amp;""</f>
      </c>
      <c r="K190" s="4">
        <f>IF($I190='Auto Responses'!$J$11,20,IF($I190='Auto Responses'!$J$13,5,10))</f>
      </c>
      <c r="L190" s="106">
        <f>IF($E190='Auto Responses'!$L$13, 'Auto Responses'!$J$5,IF(AND($D190='Auto Responses'!$J$27,$H190=""),'Auto Responses'!$J$5,IF(AND($D190='Auto Responses'!$J$27,$H190='Auto Responses'!$J$7),1,IF(AND($D190='Auto Responses'!$J$27,$H190='Auto Responses'!$J$8),0,IF(OR(AND($F190=$G190,$H190=""),$H190='Auto Responses'!$J$7),1,0)))))</f>
      </c>
      <c r="M190" s="4">
        <f>VLOOKUP($A190,'Institution Evaluation'!$A$56:$K$345,11,0)&amp;""</f>
      </c>
      <c r="N190" s="4">
        <f>IF($J190='Auto Responses'!$J$11,1,IF(AND($J190="",$I190='Auto Responses'!$J$11),1,0))</f>
      </c>
      <c r="O190" s="106">
        <f>IF(OR($F$21='Auto Responses'!$J$4,$E190='Auto Responses'!$L$13,$F190='Auto Responses'!$J$5),'Auto Responses'!$J$5,IF($J190="",$K190,IF($J190='Auto Responses'!$J$13,5,IF($J190='Auto Responses'!$J$12,10,IF($J190='Auto Responses'!$J$11,20,0)))))</f>
      </c>
      <c r="P190" s="106">
        <f>IF(OR($O190='Auto Responses'!$J$5,$L190='Auto Responses'!$J$5),'Auto Responses'!$J$5,$O190*$L190)</f>
      </c>
      <c r="Q190" s="106">
        <f t="shared" ref="Q190:Q253" si="21">IF(M190="TRUE",1,0)</f>
      </c>
      <c r="R190" s="106">
        <f t="shared" si="19"/>
      </c>
      <c r="S190" s="106">
        <f t="shared" ref="S190:S253" si="22">IF(Q190=0,0,R190)</f>
      </c>
      <c r="T190" s="106">
        <f t="shared" ref="T190:T253" si="23">IF(N190=1,1,0)</f>
      </c>
      <c r="U190" s="106">
        <f t="shared" si="20"/>
      </c>
      <c r="V190" s="106">
        <f t="shared" ref="V190:V253" si="24">IF(T190=0,0,U190)</f>
      </c>
    </row>
    <row r="191" spans="1:22" ht="60" x14ac:dyDescent="0.2">
      <c r="A191" s="4">
        <f>Questions!$A191</f>
      </c>
      <c r="B191" s="4">
        <f t="shared" ref="B191:B254" si="25">LEFT(A191,4)</f>
      </c>
      <c r="C191" s="4">
        <f>VLOOKUP($A191,Questions!$A$3:$L$333,2,0)&amp;""</f>
      </c>
      <c r="D191" s="4">
        <f>VLOOKUP($A191,Questions!$A$3:$L$333,11,0)&amp;""</f>
      </c>
      <c r="E191" s="4">
        <f>VLOOKUP($A191,Questions!$A$3:$L$333,12,0)&amp;""</f>
      </c>
      <c r="F191" s="4">
        <f>VLOOKUP($A191,'Institution Evaluation'!$A$56:$K$345,3,0)&amp;""</f>
      </c>
      <c r="G191" s="4">
        <f>VLOOKUP($A191,'Institution Evaluation'!$A$56:$K$345,7,0)&amp;""</f>
      </c>
      <c r="H191" s="4">
        <f>VLOOKUP($A191,'Institution Evaluation'!$A$56:$K$345,8,0)&amp;""</f>
      </c>
      <c r="I191" s="4">
        <f>VLOOKUP($A191,'Institution Evaluation'!$A$56:$K$345,9,0)&amp;""</f>
      </c>
      <c r="J191" s="4">
        <f>VLOOKUP($A191,'Institution Evaluation'!$A$56:$K$345,10,0)&amp;""</f>
      </c>
      <c r="K191" s="4">
        <f>IF($I191='Auto Responses'!$J$11,20,IF($I191='Auto Responses'!$J$13,5,10))</f>
      </c>
      <c r="L191" s="106">
        <f>IF($E191='Auto Responses'!$L$13, 'Auto Responses'!$J$5,IF(AND($D191='Auto Responses'!$J$27,$H191=""),'Auto Responses'!$J$5,IF(AND($D191='Auto Responses'!$J$27,$H191='Auto Responses'!$J$7),1,IF(AND($D191='Auto Responses'!$J$27,$H191='Auto Responses'!$J$8),0,IF(OR(AND($F191=$G191,$H191=""),$H191='Auto Responses'!$J$7),1,0)))))</f>
      </c>
      <c r="M191" s="4">
        <f>VLOOKUP($A191,'Institution Evaluation'!$A$56:$K$345,11,0)&amp;""</f>
      </c>
      <c r="N191" s="4">
        <f>IF($J191='Auto Responses'!$J$11,1,IF(AND($J191="",$I191='Auto Responses'!$J$11),1,0))</f>
      </c>
      <c r="O191" s="106">
        <f>IF(OR($F$21='Auto Responses'!$J$4,$E191='Auto Responses'!$L$13,$F191='Auto Responses'!$J$5),'Auto Responses'!$J$5,IF($J191="",$K191,IF($J191='Auto Responses'!$J$13,5,IF($J191='Auto Responses'!$J$12,10,IF($J191='Auto Responses'!$J$11,20,0)))))</f>
      </c>
      <c r="P191" s="106">
        <f>IF(OR($O191='Auto Responses'!$J$5,$L191='Auto Responses'!$J$5),'Auto Responses'!$J$5,$O191*$L191)</f>
      </c>
      <c r="Q191" s="106">
        <f t="shared" si="21"/>
      </c>
      <c r="R191" s="106">
        <f t="shared" si="19"/>
      </c>
      <c r="S191" s="106">
        <f t="shared" si="22"/>
      </c>
      <c r="T191" s="106">
        <f t="shared" si="23"/>
      </c>
      <c r="U191" s="106">
        <f t="shared" si="20"/>
      </c>
      <c r="V191" s="106">
        <f t="shared" si="24"/>
      </c>
    </row>
    <row r="192" spans="1:22" ht="60" x14ac:dyDescent="0.2">
      <c r="A192" s="4">
        <f>Questions!$A192</f>
      </c>
      <c r="B192" s="4">
        <f t="shared" si="25"/>
      </c>
      <c r="C192" s="4">
        <f>VLOOKUP($A192,Questions!$A$3:$L$333,2,0)&amp;""</f>
      </c>
      <c r="D192" s="4">
        <f>VLOOKUP($A192,Questions!$A$3:$L$333,11,0)&amp;""</f>
      </c>
      <c r="E192" s="4">
        <f>VLOOKUP($A192,Questions!$A$3:$L$333,12,0)&amp;""</f>
      </c>
      <c r="F192" s="4">
        <f>VLOOKUP($A192,'Institution Evaluation'!$A$56:$K$345,3,0)&amp;""</f>
      </c>
      <c r="G192" s="4">
        <f>VLOOKUP($A192,'Institution Evaluation'!$A$56:$K$345,7,0)&amp;""</f>
      </c>
      <c r="H192" s="4">
        <f>VLOOKUP($A192,'Institution Evaluation'!$A$56:$K$345,8,0)&amp;""</f>
      </c>
      <c r="I192" s="4">
        <f>VLOOKUP($A192,'Institution Evaluation'!$A$56:$K$345,9,0)&amp;""</f>
      </c>
      <c r="J192" s="4">
        <f>VLOOKUP($A192,'Institution Evaluation'!$A$56:$K$345,10,0)&amp;""</f>
      </c>
      <c r="K192" s="4">
        <f>IF($I192='Auto Responses'!$J$11,20,IF($I192='Auto Responses'!$J$13,5,10))</f>
      </c>
      <c r="L192" s="106">
        <f>IF($E192='Auto Responses'!$L$13, 'Auto Responses'!$J$5,IF(AND($D192='Auto Responses'!$J$27,$H192=""),'Auto Responses'!$J$5,IF(AND($D192='Auto Responses'!$J$27,$H192='Auto Responses'!$J$7),1,IF(AND($D192='Auto Responses'!$J$27,$H192='Auto Responses'!$J$8),0,IF(OR(AND($F192=$G192,$H192=""),$H192='Auto Responses'!$J$7),1,0)))))</f>
      </c>
      <c r="M192" s="4">
        <f>VLOOKUP($A192,'Institution Evaluation'!$A$56:$K$345,11,0)&amp;""</f>
      </c>
      <c r="N192" s="4">
        <f>IF($J192='Auto Responses'!$J$11,1,IF(AND($J192="",$I192='Auto Responses'!$J$11),1,0))</f>
      </c>
      <c r="O192" s="106">
        <f>IF(OR($F$21='Auto Responses'!$J$4,$E192='Auto Responses'!$L$13,$F192='Auto Responses'!$J$5),'Auto Responses'!$J$5,IF($J192="",$K192,IF($J192='Auto Responses'!$J$13,5,IF($J192='Auto Responses'!$J$12,10,IF($J192='Auto Responses'!$J$11,20,0)))))</f>
      </c>
      <c r="P192" s="106">
        <f>IF(OR($O192='Auto Responses'!$J$5,$L192='Auto Responses'!$J$5),'Auto Responses'!$J$5,$O192*$L192)</f>
      </c>
      <c r="Q192" s="106">
        <f t="shared" si="21"/>
      </c>
      <c r="R192" s="106">
        <f t="shared" si="19"/>
      </c>
      <c r="S192" s="106">
        <f t="shared" si="22"/>
      </c>
      <c r="T192" s="106">
        <f t="shared" si="23"/>
      </c>
      <c r="U192" s="106">
        <f t="shared" si="20"/>
      </c>
      <c r="V192" s="106">
        <f t="shared" si="24"/>
      </c>
    </row>
    <row r="193" spans="1:22" ht="60" x14ac:dyDescent="0.2">
      <c r="A193" s="4">
        <f>Questions!$A193</f>
      </c>
      <c r="B193" s="4">
        <f t="shared" si="25"/>
      </c>
      <c r="C193" s="4">
        <f>VLOOKUP($A193,Questions!$A$3:$L$333,2,0)&amp;""</f>
      </c>
      <c r="D193" s="4">
        <f>VLOOKUP($A193,Questions!$A$3:$L$333,11,0)&amp;""</f>
      </c>
      <c r="E193" s="4">
        <f>VLOOKUP($A193,Questions!$A$3:$L$333,12,0)&amp;""</f>
      </c>
      <c r="F193" s="4">
        <f>VLOOKUP($A193,'Institution Evaluation'!$A$56:$K$345,3,0)&amp;""</f>
      </c>
      <c r="G193" s="4">
        <f>VLOOKUP($A193,'Institution Evaluation'!$A$56:$K$345,7,0)&amp;""</f>
      </c>
      <c r="H193" s="4">
        <f>VLOOKUP($A193,'Institution Evaluation'!$A$56:$K$345,8,0)&amp;""</f>
      </c>
      <c r="I193" s="4">
        <f>VLOOKUP($A193,'Institution Evaluation'!$A$56:$K$345,9,0)&amp;""</f>
      </c>
      <c r="J193" s="4">
        <f>VLOOKUP($A193,'Institution Evaluation'!$A$56:$K$345,10,0)&amp;""</f>
      </c>
      <c r="K193" s="4">
        <f>IF($I193='Auto Responses'!$J$11,20,IF($I193='Auto Responses'!$J$13,5,10))</f>
      </c>
      <c r="L193" s="106">
        <f>IF($E193='Auto Responses'!$L$13, 'Auto Responses'!$J$5,IF(AND($D193='Auto Responses'!$J$27,$H193=""),'Auto Responses'!$J$5,IF(AND($D193='Auto Responses'!$J$27,$H193='Auto Responses'!$J$7),1,IF(AND($D193='Auto Responses'!$J$27,$H193='Auto Responses'!$J$8),0,IF(OR(AND($F193=$G193,$H193=""),$H193='Auto Responses'!$J$7),1,0)))))</f>
      </c>
      <c r="M193" s="4">
        <f>VLOOKUP($A193,'Institution Evaluation'!$A$56:$K$345,11,0)&amp;""</f>
      </c>
      <c r="N193" s="4">
        <f>IF($J193='Auto Responses'!$J$11,1,IF(AND($J193="",$I193='Auto Responses'!$J$11),1,0))</f>
      </c>
      <c r="O193" s="106">
        <f>IF(OR($F$21='Auto Responses'!$J$4,$E193='Auto Responses'!$L$13,$F193='Auto Responses'!$J$5),'Auto Responses'!$J$5,IF($J193="",$K193,IF($J193='Auto Responses'!$J$13,5,IF($J193='Auto Responses'!$J$12,10,IF($J193='Auto Responses'!$J$11,20,0)))))</f>
      </c>
      <c r="P193" s="106">
        <f>IF(OR($O193='Auto Responses'!$J$5,$L193='Auto Responses'!$J$5),'Auto Responses'!$J$5,$O193*$L193)</f>
      </c>
      <c r="Q193" s="106">
        <f t="shared" si="21"/>
      </c>
      <c r="R193" s="106">
        <f t="shared" si="19"/>
      </c>
      <c r="S193" s="106">
        <f t="shared" si="22"/>
      </c>
      <c r="T193" s="106">
        <f t="shared" si="23"/>
      </c>
      <c r="U193" s="106">
        <f t="shared" si="20"/>
      </c>
      <c r="V193" s="106">
        <f t="shared" si="24"/>
      </c>
    </row>
    <row r="194" spans="1:22" ht="60" x14ac:dyDescent="0.2">
      <c r="A194" s="4">
        <f>Questions!$A194</f>
      </c>
      <c r="B194" s="4">
        <f t="shared" si="25"/>
      </c>
      <c r="C194" s="4">
        <f>VLOOKUP($A194,Questions!$A$3:$L$333,2,0)&amp;""</f>
      </c>
      <c r="D194" s="4">
        <f>VLOOKUP($A194,Questions!$A$3:$L$333,11,0)&amp;""</f>
      </c>
      <c r="E194" s="4">
        <f>VLOOKUP($A194,Questions!$A$3:$L$333,12,0)&amp;""</f>
      </c>
      <c r="F194" s="4">
        <f>VLOOKUP($A194,'Institution Evaluation'!$A$56:$K$345,3,0)&amp;""</f>
      </c>
      <c r="G194" s="4">
        <f>VLOOKUP($A194,'Institution Evaluation'!$A$56:$K$345,7,0)&amp;""</f>
      </c>
      <c r="H194" s="4">
        <f>VLOOKUP($A194,'Institution Evaluation'!$A$56:$K$345,8,0)&amp;""</f>
      </c>
      <c r="I194" s="4">
        <f>VLOOKUP($A194,'Institution Evaluation'!$A$56:$K$345,9,0)&amp;""</f>
      </c>
      <c r="J194" s="4">
        <f>VLOOKUP($A194,'Institution Evaluation'!$A$56:$K$345,10,0)&amp;""</f>
      </c>
      <c r="K194" s="4">
        <f>IF($I194='Auto Responses'!$J$11,20,IF($I194='Auto Responses'!$J$13,5,10))</f>
      </c>
      <c r="L194" s="106">
        <f>IF($E194='Auto Responses'!$L$13, 'Auto Responses'!$J$5,IF(AND($D194='Auto Responses'!$J$27,$H194=""),'Auto Responses'!$J$5,IF(AND($D194='Auto Responses'!$J$27,$H194='Auto Responses'!$J$7),1,IF(AND($D194='Auto Responses'!$J$27,$H194='Auto Responses'!$J$8),0,IF(OR(AND($F194=$G194,$H194=""),$H194='Auto Responses'!$J$7),1,0)))))</f>
      </c>
      <c r="M194" s="4">
        <f>VLOOKUP($A194,'Institution Evaluation'!$A$56:$K$345,11,0)&amp;""</f>
      </c>
      <c r="N194" s="4">
        <f>IF($J194='Auto Responses'!$J$11,1,IF(AND($J194="",$I194='Auto Responses'!$J$11),1,0))</f>
      </c>
      <c r="O194" s="106">
        <f>IF(OR($F$21='Auto Responses'!$J$4,$E194='Auto Responses'!$L$13,$F194='Auto Responses'!$J$5),'Auto Responses'!$J$5,IF($J194="",$K194,IF($J194='Auto Responses'!$J$13,5,IF($J194='Auto Responses'!$J$12,10,IF($J194='Auto Responses'!$J$11,20,0)))))</f>
      </c>
      <c r="P194" s="106">
        <f>IF(OR($O194='Auto Responses'!$J$5,$L194='Auto Responses'!$J$5),'Auto Responses'!$J$5,$O194*$L194)</f>
      </c>
      <c r="Q194" s="106">
        <f t="shared" si="21"/>
      </c>
      <c r="R194" s="106">
        <f t="shared" si="19"/>
      </c>
      <c r="S194" s="106">
        <f t="shared" si="22"/>
      </c>
      <c r="T194" s="106">
        <f t="shared" si="23"/>
      </c>
      <c r="U194" s="106">
        <f t="shared" si="20"/>
      </c>
      <c r="V194" s="106">
        <f t="shared" si="24"/>
      </c>
    </row>
    <row r="195" spans="1:22" ht="60" x14ac:dyDescent="0.2">
      <c r="A195" s="4">
        <f>Questions!$A195</f>
      </c>
      <c r="B195" s="4">
        <f t="shared" si="25"/>
      </c>
      <c r="C195" s="4">
        <f>VLOOKUP($A195,Questions!$A$3:$L$333,2,0)&amp;""</f>
      </c>
      <c r="D195" s="4">
        <f>VLOOKUP($A195,Questions!$A$3:$L$333,11,0)&amp;""</f>
      </c>
      <c r="E195" s="4">
        <f>VLOOKUP($A195,Questions!$A$3:$L$333,12,0)&amp;""</f>
      </c>
      <c r="F195" s="4">
        <f>VLOOKUP($A195,'Institution Evaluation'!$A$56:$K$345,3,0)&amp;""</f>
      </c>
      <c r="G195" s="4">
        <f>VLOOKUP($A195,'Institution Evaluation'!$A$56:$K$345,7,0)&amp;""</f>
      </c>
      <c r="H195" s="4">
        <f>VLOOKUP($A195,'Institution Evaluation'!$A$56:$K$345,8,0)&amp;""</f>
      </c>
      <c r="I195" s="4">
        <f>VLOOKUP($A195,'Institution Evaluation'!$A$56:$K$345,9,0)&amp;""</f>
      </c>
      <c r="J195" s="4">
        <f>VLOOKUP($A195,'Institution Evaluation'!$A$56:$K$345,10,0)&amp;""</f>
      </c>
      <c r="K195" s="4">
        <f>IF($I195='Auto Responses'!$J$11,20,IF($I195='Auto Responses'!$J$13,5,10))</f>
      </c>
      <c r="L195" s="106">
        <f>IF($E195='Auto Responses'!$L$13, 'Auto Responses'!$J$5,IF(AND($D195='Auto Responses'!$J$27,$H195=""),'Auto Responses'!$J$5,IF(AND($D195='Auto Responses'!$J$27,$H195='Auto Responses'!$J$7),1,IF(AND($D195='Auto Responses'!$J$27,$H195='Auto Responses'!$J$8),0,IF(OR(AND($F195=$G195,$H195=""),$H195='Auto Responses'!$J$7),1,0)))))</f>
      </c>
      <c r="M195" s="4">
        <f>VLOOKUP($A195,'Institution Evaluation'!$A$56:$K$345,11,0)&amp;""</f>
      </c>
      <c r="N195" s="4">
        <f>IF($J195='Auto Responses'!$J$11,1,IF(AND($J195="",$I195='Auto Responses'!$J$11),1,0))</f>
      </c>
      <c r="O195" s="106">
        <f>IF(OR($F$21='Auto Responses'!$J$4,$E195='Auto Responses'!$L$13,$F195='Auto Responses'!$J$5),'Auto Responses'!$J$5,IF($J195="",$K195,IF($J195='Auto Responses'!$J$13,5,IF($J195='Auto Responses'!$J$12,10,IF($J195='Auto Responses'!$J$11,20,0)))))</f>
      </c>
      <c r="P195" s="106">
        <f>IF(OR($O195='Auto Responses'!$J$5,$L195='Auto Responses'!$J$5),'Auto Responses'!$J$5,$O195*$L195)</f>
      </c>
      <c r="Q195" s="106">
        <f t="shared" si="21"/>
      </c>
      <c r="R195" s="106">
        <f t="shared" si="19"/>
      </c>
      <c r="S195" s="106">
        <f t="shared" si="22"/>
      </c>
      <c r="T195" s="106">
        <f t="shared" si="23"/>
      </c>
      <c r="U195" s="106">
        <f t="shared" si="20"/>
      </c>
      <c r="V195" s="106">
        <f t="shared" si="24"/>
      </c>
    </row>
    <row r="196" spans="1:22" ht="60" x14ac:dyDescent="0.2">
      <c r="A196" s="4">
        <f>Questions!$A196</f>
      </c>
      <c r="B196" s="4">
        <f t="shared" si="25"/>
      </c>
      <c r="C196" s="4">
        <f>VLOOKUP($A196,Questions!$A$3:$L$333,2,0)&amp;""</f>
      </c>
      <c r="D196" s="4">
        <f>VLOOKUP($A196,Questions!$A$3:$L$333,11,0)&amp;""</f>
      </c>
      <c r="E196" s="4">
        <f>VLOOKUP($A196,Questions!$A$3:$L$333,12,0)&amp;""</f>
      </c>
      <c r="F196" s="4">
        <f>VLOOKUP($A196,'Institution Evaluation'!$A$56:$K$345,3,0)&amp;""</f>
      </c>
      <c r="G196" s="4">
        <f>VLOOKUP($A196,'Institution Evaluation'!$A$56:$K$345,7,0)&amp;""</f>
      </c>
      <c r="H196" s="4">
        <f>VLOOKUP($A196,'Institution Evaluation'!$A$56:$K$345,8,0)&amp;""</f>
      </c>
      <c r="I196" s="4">
        <f>VLOOKUP($A196,'Institution Evaluation'!$A$56:$K$345,9,0)&amp;""</f>
      </c>
      <c r="J196" s="4">
        <f>VLOOKUP($A196,'Institution Evaluation'!$A$56:$K$345,10,0)&amp;""</f>
      </c>
      <c r="K196" s="4">
        <f>IF($I196='Auto Responses'!$J$11,20,IF($I196='Auto Responses'!$J$13,5,10))</f>
      </c>
      <c r="L196" s="106">
        <f>IF($E196='Auto Responses'!$L$13, 'Auto Responses'!$J$5,IF(AND($D196='Auto Responses'!$J$27,$H196=""),'Auto Responses'!$J$5,IF(AND($D196='Auto Responses'!$J$27,$H196='Auto Responses'!$J$7),1,IF(AND($D196='Auto Responses'!$J$27,$H196='Auto Responses'!$J$8),0,IF(OR(AND($F196=$G196,$H196=""),$H196='Auto Responses'!$J$7),1,0)))))</f>
      </c>
      <c r="M196" s="4">
        <f>VLOOKUP($A196,'Institution Evaluation'!$A$56:$K$345,11,0)&amp;""</f>
      </c>
      <c r="N196" s="4">
        <f>IF($J196='Auto Responses'!$J$11,1,IF(AND($J196="",$I196='Auto Responses'!$J$11),1,0))</f>
      </c>
      <c r="O196" s="106">
        <f>IF(OR($F$21='Auto Responses'!$J$4,$E196='Auto Responses'!$L$13,$F196='Auto Responses'!$J$5),'Auto Responses'!$J$5,IF($J196="",$K196,IF($J196='Auto Responses'!$J$13,5,IF($J196='Auto Responses'!$J$12,10,IF($J196='Auto Responses'!$J$11,20,0)))))</f>
      </c>
      <c r="P196" s="106">
        <f>IF(OR($O196='Auto Responses'!$J$5,$L196='Auto Responses'!$J$5),'Auto Responses'!$J$5,$O196*$L196)</f>
      </c>
      <c r="Q196" s="106">
        <f t="shared" si="21"/>
      </c>
      <c r="R196" s="106">
        <f t="shared" si="19"/>
      </c>
      <c r="S196" s="106">
        <f t="shared" si="22"/>
      </c>
      <c r="T196" s="106">
        <f t="shared" si="23"/>
      </c>
      <c r="U196" s="106">
        <f t="shared" si="20"/>
      </c>
      <c r="V196" s="106">
        <f t="shared" si="24"/>
      </c>
    </row>
    <row r="197" spans="1:22" ht="60" x14ac:dyDescent="0.2">
      <c r="A197" s="4">
        <f>Questions!$A197</f>
      </c>
      <c r="B197" s="4">
        <f t="shared" si="25"/>
      </c>
      <c r="C197" s="4">
        <f>VLOOKUP($A197,Questions!$A$3:$L$333,2,0)&amp;""</f>
      </c>
      <c r="D197" s="4">
        <f>VLOOKUP($A197,Questions!$A$3:$L$333,11,0)&amp;""</f>
      </c>
      <c r="E197" s="4">
        <f>VLOOKUP($A197,Questions!$A$3:$L$333,12,0)&amp;""</f>
      </c>
      <c r="F197" s="4">
        <f>VLOOKUP($A197,'Institution Evaluation'!$A$56:$K$345,3,0)&amp;""</f>
      </c>
      <c r="G197" s="4">
        <f>VLOOKUP($A197,'Institution Evaluation'!$A$56:$K$345,7,0)&amp;""</f>
      </c>
      <c r="H197" s="4">
        <f>VLOOKUP($A197,'Institution Evaluation'!$A$56:$K$345,8,0)&amp;""</f>
      </c>
      <c r="I197" s="4">
        <f>VLOOKUP($A197,'Institution Evaluation'!$A$56:$K$345,9,0)&amp;""</f>
      </c>
      <c r="J197" s="4">
        <f>VLOOKUP($A197,'Institution Evaluation'!$A$56:$K$345,10,0)&amp;""</f>
      </c>
      <c r="K197" s="4">
        <f>IF($I197='Auto Responses'!$J$11,20,IF($I197='Auto Responses'!$J$13,5,10))</f>
      </c>
      <c r="L197" s="106">
        <f>IF($E197='Auto Responses'!$L$13, 'Auto Responses'!$J$5,IF(AND($D197='Auto Responses'!$J$27,$H197=""),'Auto Responses'!$J$5,IF(AND($D197='Auto Responses'!$J$27,$H197='Auto Responses'!$J$7),1,IF(AND($D197='Auto Responses'!$J$27,$H197='Auto Responses'!$J$8),0,IF(OR(AND($F197=$G197,$H197=""),$H197='Auto Responses'!$J$7),1,0)))))</f>
      </c>
      <c r="M197" s="4">
        <f>VLOOKUP($A197,'Institution Evaluation'!$A$56:$K$345,11,0)&amp;""</f>
      </c>
      <c r="N197" s="4">
        <f>IF($J197='Auto Responses'!$J$11,1,IF(AND($J197="",$I197='Auto Responses'!$J$11),1,0))</f>
      </c>
      <c r="O197" s="106">
        <f>IF(OR($F$21='Auto Responses'!$J$4,$E197='Auto Responses'!$L$13,$F197='Auto Responses'!$J$5),'Auto Responses'!$J$5,IF($J197="",$K197,IF($J197='Auto Responses'!$J$13,5,IF($J197='Auto Responses'!$J$12,10,IF($J197='Auto Responses'!$J$11,20,0)))))</f>
      </c>
      <c r="P197" s="106">
        <f>IF(OR($O197='Auto Responses'!$J$5,$L197='Auto Responses'!$J$5),'Auto Responses'!$J$5,$O197*$L197)</f>
      </c>
      <c r="Q197" s="106">
        <f t="shared" si="21"/>
      </c>
      <c r="R197" s="106">
        <f t="shared" ref="R197:R260" si="26">R196+Q197</f>
      </c>
      <c r="S197" s="106">
        <f t="shared" si="22"/>
      </c>
      <c r="T197" s="106">
        <f t="shared" si="23"/>
      </c>
      <c r="U197" s="106">
        <f t="shared" ref="U197:U260" si="27">U196+T197</f>
      </c>
      <c r="V197" s="106">
        <f t="shared" si="24"/>
      </c>
    </row>
    <row r="198" spans="1:22" ht="60" x14ac:dyDescent="0.2">
      <c r="A198" s="4">
        <f>Questions!$A198</f>
      </c>
      <c r="B198" s="4">
        <f t="shared" si="25"/>
      </c>
      <c r="C198" s="4">
        <f>VLOOKUP($A198,Questions!$A$3:$L$333,2,0)&amp;""</f>
      </c>
      <c r="D198" s="4">
        <f>VLOOKUP($A198,Questions!$A$3:$L$333,11,0)&amp;""</f>
      </c>
      <c r="E198" s="4">
        <f>VLOOKUP($A198,Questions!$A$3:$L$333,12,0)&amp;""</f>
      </c>
      <c r="F198" s="4">
        <f>VLOOKUP($A198,'Institution Evaluation'!$A$56:$K$345,3,0)&amp;""</f>
      </c>
      <c r="G198" s="4">
        <f>VLOOKUP($A198,'Institution Evaluation'!$A$56:$K$345,7,0)&amp;""</f>
      </c>
      <c r="H198" s="4">
        <f>VLOOKUP($A198,'Institution Evaluation'!$A$56:$K$345,8,0)&amp;""</f>
      </c>
      <c r="I198" s="4">
        <f>VLOOKUP($A198,'Institution Evaluation'!$A$56:$K$345,9,0)&amp;""</f>
      </c>
      <c r="J198" s="4">
        <f>VLOOKUP($A198,'Institution Evaluation'!$A$56:$K$345,10,0)&amp;""</f>
      </c>
      <c r="K198" s="4">
        <f>IF($I198='Auto Responses'!$J$11,20,IF($I198='Auto Responses'!$J$13,5,10))</f>
      </c>
      <c r="L198" s="106">
        <f>IF($E198='Auto Responses'!$L$13, 'Auto Responses'!$J$5,IF(AND($D198='Auto Responses'!$J$27,$H198=""),'Auto Responses'!$J$5,IF(AND($D198='Auto Responses'!$J$27,$H198='Auto Responses'!$J$7),1,IF(AND($D198='Auto Responses'!$J$27,$H198='Auto Responses'!$J$8),0,IF(OR(AND($F198=$G198,$H198=""),$H198='Auto Responses'!$J$7),1,0)))))</f>
      </c>
      <c r="M198" s="4">
        <f>VLOOKUP($A198,'Institution Evaluation'!$A$56:$K$345,11,0)&amp;""</f>
      </c>
      <c r="N198" s="4">
        <f>IF($J198='Auto Responses'!$J$11,1,IF(AND($J198="",$I198='Auto Responses'!$J$11),1,0))</f>
      </c>
      <c r="O198" s="106">
        <f>IF(OR($F$21='Auto Responses'!$J$4,$E198='Auto Responses'!$L$13,$F198='Auto Responses'!$J$5),'Auto Responses'!$J$5,IF($J198="",$K198,IF($J198='Auto Responses'!$J$13,5,IF($J198='Auto Responses'!$J$12,10,IF($J198='Auto Responses'!$J$11,20,0)))))</f>
      </c>
      <c r="P198" s="106">
        <f>IF(OR($O198='Auto Responses'!$J$5,$L198='Auto Responses'!$J$5),'Auto Responses'!$J$5,$O198*$L198)</f>
      </c>
      <c r="Q198" s="106">
        <f t="shared" si="21"/>
      </c>
      <c r="R198" s="106">
        <f t="shared" si="26"/>
      </c>
      <c r="S198" s="106">
        <f t="shared" si="22"/>
      </c>
      <c r="T198" s="106">
        <f t="shared" si="23"/>
      </c>
      <c r="U198" s="106">
        <f t="shared" si="27"/>
      </c>
      <c r="V198" s="106">
        <f t="shared" si="24"/>
      </c>
    </row>
    <row r="199" spans="1:22" ht="60" x14ac:dyDescent="0.2">
      <c r="A199" s="4">
        <f>Questions!$A199</f>
      </c>
      <c r="B199" s="4">
        <f t="shared" si="25"/>
      </c>
      <c r="C199" s="4">
        <f>VLOOKUP($A199,Questions!$A$3:$L$333,2,0)&amp;""</f>
      </c>
      <c r="D199" s="4">
        <f>VLOOKUP($A199,Questions!$A$3:$L$333,11,0)&amp;""</f>
      </c>
      <c r="E199" s="4">
        <f>VLOOKUP($A199,Questions!$A$3:$L$333,12,0)&amp;""</f>
      </c>
      <c r="F199" s="4">
        <f>VLOOKUP($A199,'Institution Evaluation'!$A$56:$K$345,3,0)&amp;""</f>
      </c>
      <c r="G199" s="4">
        <f>VLOOKUP($A199,'Institution Evaluation'!$A$56:$K$345,7,0)&amp;""</f>
      </c>
      <c r="H199" s="4">
        <f>VLOOKUP($A199,'Institution Evaluation'!$A$56:$K$345,8,0)&amp;""</f>
      </c>
      <c r="I199" s="4">
        <f>VLOOKUP($A199,'Institution Evaluation'!$A$56:$K$345,9,0)&amp;""</f>
      </c>
      <c r="J199" s="4">
        <f>VLOOKUP($A199,'Institution Evaluation'!$A$56:$K$345,10,0)&amp;""</f>
      </c>
      <c r="K199" s="4">
        <f>IF($I199='Auto Responses'!$J$11,20,IF($I199='Auto Responses'!$J$13,5,10))</f>
      </c>
      <c r="L199" s="106">
        <f>IF($E199='Auto Responses'!$L$13, 'Auto Responses'!$J$5,IF(AND($D199='Auto Responses'!$J$27,$H199=""),'Auto Responses'!$J$5,IF(AND($D199='Auto Responses'!$J$27,$H199='Auto Responses'!$J$7),1,IF(AND($D199='Auto Responses'!$J$27,$H199='Auto Responses'!$J$8),0,IF(OR(AND($F199=$G199,$H199=""),$H199='Auto Responses'!$J$7),1,0)))))</f>
      </c>
      <c r="M199" s="4">
        <f>VLOOKUP($A199,'Institution Evaluation'!$A$56:$K$345,11,0)&amp;""</f>
      </c>
      <c r="N199" s="4">
        <f>IF($J199='Auto Responses'!$J$11,1,IF(AND($J199="",$I199='Auto Responses'!$J$11),1,0))</f>
      </c>
      <c r="O199" s="106">
        <f>IF(OR($F$21='Auto Responses'!$J$4,$E199='Auto Responses'!$L$13,$F199='Auto Responses'!$J$5),'Auto Responses'!$J$5,IF($J199="",$K199,IF($J199='Auto Responses'!$J$13,5,IF($J199='Auto Responses'!$J$12,10,IF($J199='Auto Responses'!$J$11,20,0)))))</f>
      </c>
      <c r="P199" s="106">
        <f>IF(OR($O199='Auto Responses'!$J$5,$L199='Auto Responses'!$J$5),'Auto Responses'!$J$5,$O199*$L199)</f>
      </c>
      <c r="Q199" s="106">
        <f t="shared" si="21"/>
      </c>
      <c r="R199" s="106">
        <f t="shared" si="26"/>
      </c>
      <c r="S199" s="106">
        <f t="shared" si="22"/>
      </c>
      <c r="T199" s="106">
        <f t="shared" si="23"/>
      </c>
      <c r="U199" s="106">
        <f t="shared" si="27"/>
      </c>
      <c r="V199" s="106">
        <f t="shared" si="24"/>
      </c>
    </row>
    <row r="200" spans="1:22" ht="60" x14ac:dyDescent="0.2">
      <c r="A200" s="4">
        <f>Questions!$A200</f>
      </c>
      <c r="B200" s="4">
        <f t="shared" si="25"/>
      </c>
      <c r="C200" s="4">
        <f>VLOOKUP($A200,Questions!$A$3:$L$333,2,0)&amp;""</f>
      </c>
      <c r="D200" s="4">
        <f>VLOOKUP($A200,Questions!$A$3:$L$333,11,0)&amp;""</f>
      </c>
      <c r="E200" s="4">
        <f>VLOOKUP($A200,Questions!$A$3:$L$333,12,0)&amp;""</f>
      </c>
      <c r="F200" s="4">
        <f>VLOOKUP($A200,'Institution Evaluation'!$A$56:$K$345,3,0)&amp;""</f>
      </c>
      <c r="G200" s="4">
        <f>VLOOKUP($A200,'Institution Evaluation'!$A$56:$K$345,7,0)&amp;""</f>
      </c>
      <c r="H200" s="4">
        <f>VLOOKUP($A200,'Institution Evaluation'!$A$56:$K$345,8,0)&amp;""</f>
      </c>
      <c r="I200" s="4">
        <f>VLOOKUP($A200,'Institution Evaluation'!$A$56:$K$345,9,0)&amp;""</f>
      </c>
      <c r="J200" s="4">
        <f>VLOOKUP($A200,'Institution Evaluation'!$A$56:$K$345,10,0)&amp;""</f>
      </c>
      <c r="K200" s="4">
        <f>IF($I200='Auto Responses'!$J$11,20,IF($I200='Auto Responses'!$J$13,5,10))</f>
      </c>
      <c r="L200" s="106">
        <f>IF($E200='Auto Responses'!$L$13, 'Auto Responses'!$J$5,IF(AND($D200='Auto Responses'!$J$27,$H200=""),'Auto Responses'!$J$5,IF(AND($D200='Auto Responses'!$J$27,$H200='Auto Responses'!$J$7),1,IF(AND($D200='Auto Responses'!$J$27,$H200='Auto Responses'!$J$8),0,IF(OR(AND($F200=$G200,$H200=""),$H200='Auto Responses'!$J$7),1,0)))))</f>
      </c>
      <c r="M200" s="4">
        <f>VLOOKUP($A200,'Institution Evaluation'!$A$56:$K$345,11,0)&amp;""</f>
      </c>
      <c r="N200" s="4">
        <f>IF($J200='Auto Responses'!$J$11,1,IF(AND($J200="",$I200='Auto Responses'!$J$11),1,0))</f>
      </c>
      <c r="O200" s="106">
        <f>IF(OR($F$21='Auto Responses'!$J$4,$E200='Auto Responses'!$L$13,$F200='Auto Responses'!$J$5),'Auto Responses'!$J$5,IF($J200="",$K200,IF($J200='Auto Responses'!$J$13,5,IF($J200='Auto Responses'!$J$12,10,IF($J200='Auto Responses'!$J$11,20,0)))))</f>
      </c>
      <c r="P200" s="106">
        <f>IF(OR($O200='Auto Responses'!$J$5,$L200='Auto Responses'!$J$5),'Auto Responses'!$J$5,$O200*$L200)</f>
      </c>
      <c r="Q200" s="106">
        <f t="shared" si="21"/>
      </c>
      <c r="R200" s="106">
        <f t="shared" si="26"/>
      </c>
      <c r="S200" s="106">
        <f t="shared" si="22"/>
      </c>
      <c r="T200" s="106">
        <f t="shared" si="23"/>
      </c>
      <c r="U200" s="106">
        <f t="shared" si="27"/>
      </c>
      <c r="V200" s="106">
        <f t="shared" si="24"/>
      </c>
    </row>
    <row r="201" spans="1:22" ht="60" x14ac:dyDescent="0.2">
      <c r="A201" s="4">
        <f>Questions!$A201</f>
      </c>
      <c r="B201" s="4">
        <f t="shared" si="25"/>
      </c>
      <c r="C201" s="4">
        <f>VLOOKUP($A201,Questions!$A$3:$L$333,2,0)&amp;""</f>
      </c>
      <c r="D201" s="4">
        <f>VLOOKUP($A201,Questions!$A$3:$L$333,11,0)&amp;""</f>
      </c>
      <c r="E201" s="4">
        <f>VLOOKUP($A201,Questions!$A$3:$L$333,12,0)&amp;""</f>
      </c>
      <c r="F201" s="4">
        <f>VLOOKUP($A201,'Institution Evaluation'!$A$56:$K$345,3,0)&amp;""</f>
      </c>
      <c r="G201" s="4">
        <f>VLOOKUP($A201,'Institution Evaluation'!$A$56:$K$345,7,0)&amp;""</f>
      </c>
      <c r="H201" s="4">
        <f>VLOOKUP($A201,'Institution Evaluation'!$A$56:$K$345,8,0)&amp;""</f>
      </c>
      <c r="I201" s="4">
        <f>VLOOKUP($A201,'Institution Evaluation'!$A$56:$K$345,9,0)&amp;""</f>
      </c>
      <c r="J201" s="4">
        <f>VLOOKUP($A201,'Institution Evaluation'!$A$56:$K$345,10,0)&amp;""</f>
      </c>
      <c r="K201" s="4">
        <f>IF($I201='Auto Responses'!$J$11,20,IF($I201='Auto Responses'!$J$13,5,10))</f>
      </c>
      <c r="L201" s="106">
        <f>IF($E201='Auto Responses'!$L$13, 'Auto Responses'!$J$5,IF(AND($D201='Auto Responses'!$J$27,$H201=""),'Auto Responses'!$J$5,IF(AND($D201='Auto Responses'!$J$27,$H201='Auto Responses'!$J$7),1,IF(AND($D201='Auto Responses'!$J$27,$H201='Auto Responses'!$J$8),0,IF(OR(AND($F201=$G201,$H201=""),$H201='Auto Responses'!$J$7),1,0)))))</f>
      </c>
      <c r="M201" s="4">
        <f>VLOOKUP($A201,'Institution Evaluation'!$A$56:$K$345,11,0)&amp;""</f>
      </c>
      <c r="N201" s="4">
        <f>IF($J201='Auto Responses'!$J$11,1,IF(AND($J201="",$I201='Auto Responses'!$J$11),1,0))</f>
      </c>
      <c r="O201" s="106">
        <f>IF(OR($F$21='Auto Responses'!$J$4,$E201='Auto Responses'!$L$13,$F201='Auto Responses'!$J$5),'Auto Responses'!$J$5,IF($J201="",$K201,IF($J201='Auto Responses'!$J$13,5,IF($J201='Auto Responses'!$J$12,10,IF($J201='Auto Responses'!$J$11,20,0)))))</f>
      </c>
      <c r="P201" s="106">
        <f>IF(OR($O201='Auto Responses'!$J$5,$L201='Auto Responses'!$J$5),'Auto Responses'!$J$5,$O201*$L201)</f>
      </c>
      <c r="Q201" s="106">
        <f t="shared" si="21"/>
      </c>
      <c r="R201" s="106">
        <f t="shared" si="26"/>
      </c>
      <c r="S201" s="106">
        <f t="shared" si="22"/>
      </c>
      <c r="T201" s="106">
        <f t="shared" si="23"/>
      </c>
      <c r="U201" s="106">
        <f t="shared" si="27"/>
      </c>
      <c r="V201" s="106">
        <f t="shared" si="24"/>
      </c>
    </row>
    <row r="202" spans="1:22" ht="60" x14ac:dyDescent="0.2">
      <c r="A202" s="4">
        <f>Questions!$A202</f>
      </c>
      <c r="B202" s="4">
        <f t="shared" si="25"/>
      </c>
      <c r="C202" s="4">
        <f>VLOOKUP($A202,Questions!$A$3:$L$333,2,0)&amp;""</f>
      </c>
      <c r="D202" s="4">
        <f>VLOOKUP($A202,Questions!$A$3:$L$333,11,0)&amp;""</f>
      </c>
      <c r="E202" s="4">
        <f>VLOOKUP($A202,Questions!$A$3:$L$333,12,0)&amp;""</f>
      </c>
      <c r="F202" s="4">
        <f>VLOOKUP($A202,'Institution Evaluation'!$A$56:$K$345,3,0)&amp;""</f>
      </c>
      <c r="G202" s="4">
        <f>VLOOKUP($A202,'Institution Evaluation'!$A$56:$K$345,7,0)&amp;""</f>
      </c>
      <c r="H202" s="4">
        <f>VLOOKUP($A202,'Institution Evaluation'!$A$56:$K$345,8,0)&amp;""</f>
      </c>
      <c r="I202" s="4">
        <f>VLOOKUP($A202,'Institution Evaluation'!$A$56:$K$345,9,0)&amp;""</f>
      </c>
      <c r="J202" s="4">
        <f>VLOOKUP($A202,'Institution Evaluation'!$A$56:$K$345,10,0)&amp;""</f>
      </c>
      <c r="K202" s="4">
        <f>IF($I202='Auto Responses'!$J$11,20,IF($I202='Auto Responses'!$J$13,5,10))</f>
      </c>
      <c r="L202" s="106">
        <f>IF($E202='Auto Responses'!$L$13, 'Auto Responses'!$J$5,IF(AND($D202='Auto Responses'!$J$27,$H202=""),'Auto Responses'!$J$5,IF(AND($D202='Auto Responses'!$J$27,$H202='Auto Responses'!$J$7),1,IF(AND($D202='Auto Responses'!$J$27,$H202='Auto Responses'!$J$8),0,IF(OR(AND($F202=$G202,$H202=""),$H202='Auto Responses'!$J$7),1,0)))))</f>
      </c>
      <c r="M202" s="4">
        <f>VLOOKUP($A202,'Institution Evaluation'!$A$56:$K$345,11,0)&amp;""</f>
      </c>
      <c r="N202" s="4">
        <f>IF($J202='Auto Responses'!$J$11,1,IF(AND($J202="",$I202='Auto Responses'!$J$11),1,0))</f>
      </c>
      <c r="O202" s="106">
        <f>IF(OR($F$21='Auto Responses'!$J$4,$E202='Auto Responses'!$L$13,$F202='Auto Responses'!$J$5),'Auto Responses'!$J$5,IF($J202="",$K202,IF($J202='Auto Responses'!$J$13,5,IF($J202='Auto Responses'!$J$12,10,IF($J202='Auto Responses'!$J$11,20,0)))))</f>
      </c>
      <c r="P202" s="106">
        <f>IF(OR($O202='Auto Responses'!$J$5,$L202='Auto Responses'!$J$5),'Auto Responses'!$J$5,$O202*$L202)</f>
      </c>
      <c r="Q202" s="106">
        <f t="shared" si="21"/>
      </c>
      <c r="R202" s="106">
        <f t="shared" si="26"/>
      </c>
      <c r="S202" s="106">
        <f t="shared" si="22"/>
      </c>
      <c r="T202" s="106">
        <f t="shared" si="23"/>
      </c>
      <c r="U202" s="106">
        <f t="shared" si="27"/>
      </c>
      <c r="V202" s="106">
        <f t="shared" si="24"/>
      </c>
    </row>
    <row r="203" spans="1:22" ht="60" x14ac:dyDescent="0.2">
      <c r="A203" s="4">
        <f>Questions!$A203</f>
      </c>
      <c r="B203" s="4">
        <f t="shared" si="25"/>
      </c>
      <c r="C203" s="4">
        <f>VLOOKUP($A203,Questions!$A$3:$L$333,2,0)&amp;""</f>
      </c>
      <c r="D203" s="4">
        <f>VLOOKUP($A203,Questions!$A$3:$L$333,11,0)&amp;""</f>
      </c>
      <c r="E203" s="4">
        <f>VLOOKUP($A203,Questions!$A$3:$L$333,12,0)&amp;""</f>
      </c>
      <c r="F203" s="4">
        <f>VLOOKUP($A203,'Institution Evaluation'!$A$56:$K$345,3,0)&amp;""</f>
      </c>
      <c r="G203" s="4">
        <f>VLOOKUP($A203,'Institution Evaluation'!$A$56:$K$345,7,0)&amp;""</f>
      </c>
      <c r="H203" s="4">
        <f>VLOOKUP($A203,'Institution Evaluation'!$A$56:$K$345,8,0)&amp;""</f>
      </c>
      <c r="I203" s="4">
        <f>VLOOKUP($A203,'Institution Evaluation'!$A$56:$K$345,9,0)&amp;""</f>
      </c>
      <c r="J203" s="4">
        <f>VLOOKUP($A203,'Institution Evaluation'!$A$56:$K$345,10,0)&amp;""</f>
      </c>
      <c r="K203" s="4">
        <f>IF($I203='Auto Responses'!$J$11,20,IF($I203='Auto Responses'!$J$13,5,10))</f>
      </c>
      <c r="L203" s="106">
        <f>IF($E203='Auto Responses'!$L$13, 'Auto Responses'!$J$5,IF(AND($D203='Auto Responses'!$J$27,$H203=""),'Auto Responses'!$J$5,IF(AND($D203='Auto Responses'!$J$27,$H203='Auto Responses'!$J$7),1,IF(AND($D203='Auto Responses'!$J$27,$H203='Auto Responses'!$J$8),0,IF(OR(AND($F203=$G203,$H203=""),$H203='Auto Responses'!$J$7),1,0)))))</f>
      </c>
      <c r="M203" s="4">
        <f>VLOOKUP($A203,'Institution Evaluation'!$A$56:$K$345,11,0)&amp;""</f>
      </c>
      <c r="N203" s="4">
        <f>IF($J203='Auto Responses'!$J$11,1,IF(AND($J203="",$I203='Auto Responses'!$J$11),1,0))</f>
      </c>
      <c r="O203" s="106">
        <f>IF(OR($F$21='Auto Responses'!$J$4,$E203='Auto Responses'!$L$13,$F203='Auto Responses'!$J$5),'Auto Responses'!$J$5,IF($J203="",$K203,IF($J203='Auto Responses'!$J$13,5,IF($J203='Auto Responses'!$J$12,10,IF($J203='Auto Responses'!$J$11,20,0)))))</f>
      </c>
      <c r="P203" s="106">
        <f>IF(OR($O203='Auto Responses'!$J$5,$L203='Auto Responses'!$J$5),'Auto Responses'!$J$5,$O203*$L203)</f>
      </c>
      <c r="Q203" s="106">
        <f t="shared" si="21"/>
      </c>
      <c r="R203" s="106">
        <f t="shared" si="26"/>
      </c>
      <c r="S203" s="106">
        <f t="shared" si="22"/>
      </c>
      <c r="T203" s="106">
        <f t="shared" si="23"/>
      </c>
      <c r="U203" s="106">
        <f t="shared" si="27"/>
      </c>
      <c r="V203" s="106">
        <f t="shared" si="24"/>
      </c>
    </row>
    <row r="204" spans="1:22" ht="60" x14ac:dyDescent="0.2">
      <c r="A204" s="4">
        <f>Questions!$A204</f>
      </c>
      <c r="B204" s="4">
        <f t="shared" si="25"/>
      </c>
      <c r="C204" s="4">
        <f>VLOOKUP($A204,Questions!$A$3:$L$333,2,0)&amp;""</f>
      </c>
      <c r="D204" s="4">
        <f>VLOOKUP($A204,Questions!$A$3:$L$333,11,0)&amp;""</f>
      </c>
      <c r="E204" s="4">
        <f>VLOOKUP($A204,Questions!$A$3:$L$333,12,0)&amp;""</f>
      </c>
      <c r="F204" s="4">
        <f>VLOOKUP($A204,'Institution Evaluation'!$A$56:$K$345,3,0)&amp;""</f>
      </c>
      <c r="G204" s="4">
        <f>VLOOKUP($A204,'Institution Evaluation'!$A$56:$K$345,7,0)&amp;""</f>
      </c>
      <c r="H204" s="4">
        <f>VLOOKUP($A204,'Institution Evaluation'!$A$56:$K$345,8,0)&amp;""</f>
      </c>
      <c r="I204" s="4">
        <f>VLOOKUP($A204,'Institution Evaluation'!$A$56:$K$345,9,0)&amp;""</f>
      </c>
      <c r="J204" s="4">
        <f>VLOOKUP($A204,'Institution Evaluation'!$A$56:$K$345,10,0)&amp;""</f>
      </c>
      <c r="K204" s="4">
        <f>IF($I204='Auto Responses'!$J$11,20,IF($I204='Auto Responses'!$J$13,5,10))</f>
      </c>
      <c r="L204" s="106">
        <f>IF($E204='Auto Responses'!$L$13, 'Auto Responses'!$J$5,IF(AND($D204='Auto Responses'!$J$27,$H204=""),'Auto Responses'!$J$5,IF(AND($D204='Auto Responses'!$J$27,$H204='Auto Responses'!$J$7),1,IF(AND($D204='Auto Responses'!$J$27,$H204='Auto Responses'!$J$8),0,IF(OR(AND($F204=$G204,$H204=""),$H204='Auto Responses'!$J$7),1,0)))))</f>
      </c>
      <c r="M204" s="4">
        <f>VLOOKUP($A204,'Institution Evaluation'!$A$56:$K$345,11,0)&amp;""</f>
      </c>
      <c r="N204" s="4">
        <f>IF($J204='Auto Responses'!$J$11,1,IF(AND($J204="",$I204='Auto Responses'!$J$11),1,0))</f>
      </c>
      <c r="O204" s="106">
        <f>IF(OR($F$21='Auto Responses'!$J$4,$E204='Auto Responses'!$L$13,$F204='Auto Responses'!$J$5),'Auto Responses'!$J$5,IF($J204="",$K204,IF($J204='Auto Responses'!$J$13,5,IF($J204='Auto Responses'!$J$12,10,IF($J204='Auto Responses'!$J$11,20,0)))))</f>
      </c>
      <c r="P204" s="106">
        <f>IF(OR($O204='Auto Responses'!$J$5,$L204='Auto Responses'!$J$5),'Auto Responses'!$J$5,$O204*$L204)</f>
      </c>
      <c r="Q204" s="106">
        <f t="shared" si="21"/>
      </c>
      <c r="R204" s="106">
        <f t="shared" si="26"/>
      </c>
      <c r="S204" s="106">
        <f t="shared" si="22"/>
      </c>
      <c r="T204" s="106">
        <f t="shared" si="23"/>
      </c>
      <c r="U204" s="106">
        <f t="shared" si="27"/>
      </c>
      <c r="V204" s="106">
        <f t="shared" si="24"/>
      </c>
    </row>
    <row r="205" spans="1:22" ht="60" x14ac:dyDescent="0.2">
      <c r="A205" s="4">
        <f>Questions!$A205</f>
      </c>
      <c r="B205" s="4">
        <f t="shared" si="25"/>
      </c>
      <c r="C205" s="4">
        <f>VLOOKUP($A205,Questions!$A$3:$L$333,2,0)&amp;""</f>
      </c>
      <c r="D205" s="4">
        <f>VLOOKUP($A205,Questions!$A$3:$L$333,11,0)&amp;""</f>
      </c>
      <c r="E205" s="4">
        <f>VLOOKUP($A205,Questions!$A$3:$L$333,12,0)&amp;""</f>
      </c>
      <c r="F205" s="4">
        <f>VLOOKUP($A205,'Institution Evaluation'!$A$56:$K$345,3,0)&amp;""</f>
      </c>
      <c r="G205" s="4">
        <f>VLOOKUP($A205,'Institution Evaluation'!$A$56:$K$345,7,0)&amp;""</f>
      </c>
      <c r="H205" s="4">
        <f>VLOOKUP($A205,'Institution Evaluation'!$A$56:$K$345,8,0)&amp;""</f>
      </c>
      <c r="I205" s="4">
        <f>VLOOKUP($A205,'Institution Evaluation'!$A$56:$K$345,9,0)&amp;""</f>
      </c>
      <c r="J205" s="4">
        <f>VLOOKUP($A205,'Institution Evaluation'!$A$56:$K$345,10,0)&amp;""</f>
      </c>
      <c r="K205" s="4">
        <f>IF($I205='Auto Responses'!$J$11,20,IF($I205='Auto Responses'!$J$13,5,10))</f>
      </c>
      <c r="L205" s="106">
        <f>IF($E205='Auto Responses'!$L$13, 'Auto Responses'!$J$5,IF(AND($D205='Auto Responses'!$J$27,$H205=""),'Auto Responses'!$J$5,IF(AND($D205='Auto Responses'!$J$27,$H205='Auto Responses'!$J$7),1,IF(AND($D205='Auto Responses'!$J$27,$H205='Auto Responses'!$J$8),0,IF(OR(AND($F205=$G205,$H205=""),$H205='Auto Responses'!$J$7),1,0)))))</f>
      </c>
      <c r="M205" s="4">
        <f>VLOOKUP($A205,'Institution Evaluation'!$A$56:$K$345,11,0)&amp;""</f>
      </c>
      <c r="N205" s="4">
        <f>IF($J205='Auto Responses'!$J$11,1,IF(AND($J205="",$I205='Auto Responses'!$J$11),1,0))</f>
      </c>
      <c r="O205" s="106">
        <f>IF(OR($F$21='Auto Responses'!$J$4,$E205='Auto Responses'!$L$13,$F205='Auto Responses'!$J$5),'Auto Responses'!$J$5,IF($J205="",$K205,IF($J205='Auto Responses'!$J$13,5,IF($J205='Auto Responses'!$J$12,10,IF($J205='Auto Responses'!$J$11,20,0)))))</f>
      </c>
      <c r="P205" s="106">
        <f>IF(OR($O205='Auto Responses'!$J$5,$L205='Auto Responses'!$J$5),'Auto Responses'!$J$5,$O205*$L205)</f>
      </c>
      <c r="Q205" s="106">
        <f t="shared" si="21"/>
      </c>
      <c r="R205" s="106">
        <f t="shared" si="26"/>
      </c>
      <c r="S205" s="106">
        <f t="shared" si="22"/>
      </c>
      <c r="T205" s="106">
        <f t="shared" si="23"/>
      </c>
      <c r="U205" s="106">
        <f t="shared" si="27"/>
      </c>
      <c r="V205" s="106">
        <f t="shared" si="24"/>
      </c>
    </row>
    <row r="206" spans="1:22" ht="60" x14ac:dyDescent="0.2">
      <c r="A206" s="4">
        <f>Questions!$A206</f>
      </c>
      <c r="B206" s="4">
        <f t="shared" si="25"/>
      </c>
      <c r="C206" s="4">
        <f>VLOOKUP($A206,Questions!$A$3:$L$333,2,0)&amp;""</f>
      </c>
      <c r="D206" s="4">
        <f>VLOOKUP($A206,Questions!$A$3:$L$333,11,0)&amp;""</f>
      </c>
      <c r="E206" s="4">
        <f>VLOOKUP($A206,Questions!$A$3:$L$333,12,0)&amp;""</f>
      </c>
      <c r="F206" s="4">
        <f>VLOOKUP($A206,'Institution Evaluation'!$A$56:$K$345,3,0)&amp;""</f>
      </c>
      <c r="G206" s="4">
        <f>VLOOKUP($A206,'Institution Evaluation'!$A$56:$K$345,7,0)&amp;""</f>
      </c>
      <c r="H206" s="4">
        <f>VLOOKUP($A206,'Institution Evaluation'!$A$56:$K$345,8,0)&amp;""</f>
      </c>
      <c r="I206" s="4">
        <f>VLOOKUP($A206,'Institution Evaluation'!$A$56:$K$345,9,0)&amp;""</f>
      </c>
      <c r="J206" s="4">
        <f>VLOOKUP($A206,'Institution Evaluation'!$A$56:$K$345,10,0)&amp;""</f>
      </c>
      <c r="K206" s="4">
        <f>IF($I206='Auto Responses'!$J$11,20,IF($I206='Auto Responses'!$J$13,5,10))</f>
      </c>
      <c r="L206" s="106">
        <f>IF($E206='Auto Responses'!$L$13, 'Auto Responses'!$J$5,IF(AND($D206='Auto Responses'!$J$27,$H206=""),'Auto Responses'!$J$5,IF(AND($D206='Auto Responses'!$J$27,$H206='Auto Responses'!$J$7),1,IF(AND($D206='Auto Responses'!$J$27,$H206='Auto Responses'!$J$8),0,IF(OR(AND($F206=$G206,$H206=""),$H206='Auto Responses'!$J$7),1,0)))))</f>
      </c>
      <c r="M206" s="4">
        <f>VLOOKUP($A206,'Institution Evaluation'!$A$56:$K$345,11,0)&amp;""</f>
      </c>
      <c r="N206" s="4">
        <f>IF($J206='Auto Responses'!$J$11,1,IF(AND($J206="",$I206='Auto Responses'!$J$11),1,0))</f>
      </c>
      <c r="O206" s="106">
        <f>IF(OR($F$21='Auto Responses'!$J$4,$E206='Auto Responses'!$L$13,$F206='Auto Responses'!$J$5),'Auto Responses'!$J$5,IF($J206="",$K206,IF($J206='Auto Responses'!$J$13,5,IF($J206='Auto Responses'!$J$12,10,IF($J206='Auto Responses'!$J$11,20,0)))))</f>
      </c>
      <c r="P206" s="106">
        <f>IF(OR($O206='Auto Responses'!$J$5,$L206='Auto Responses'!$J$5),'Auto Responses'!$J$5,$O206*$L206)</f>
      </c>
      <c r="Q206" s="106">
        <f t="shared" si="21"/>
      </c>
      <c r="R206" s="106">
        <f t="shared" si="26"/>
      </c>
      <c r="S206" s="106">
        <f t="shared" si="22"/>
      </c>
      <c r="T206" s="106">
        <f t="shared" si="23"/>
      </c>
      <c r="U206" s="106">
        <f t="shared" si="27"/>
      </c>
      <c r="V206" s="106">
        <f t="shared" si="24"/>
      </c>
    </row>
    <row r="207" spans="1:22" ht="60" x14ac:dyDescent="0.2">
      <c r="A207" s="4">
        <f>Questions!$A207</f>
      </c>
      <c r="B207" s="4">
        <f t="shared" si="25"/>
      </c>
      <c r="C207" s="4">
        <f>VLOOKUP($A207,Questions!$A$3:$L$333,2,0)&amp;""</f>
      </c>
      <c r="D207" s="4">
        <f>VLOOKUP($A207,Questions!$A$3:$L$333,11,0)&amp;""</f>
      </c>
      <c r="E207" s="4">
        <f>VLOOKUP($A207,Questions!$A$3:$L$333,12,0)&amp;""</f>
      </c>
      <c r="F207" s="4">
        <f>VLOOKUP($A207,'Institution Evaluation'!$A$56:$K$345,3,0)&amp;""</f>
      </c>
      <c r="G207" s="4">
        <f>VLOOKUP($A207,'Institution Evaluation'!$A$56:$K$345,7,0)&amp;""</f>
      </c>
      <c r="H207" s="4">
        <f>VLOOKUP($A207,'Institution Evaluation'!$A$56:$K$345,8,0)&amp;""</f>
      </c>
      <c r="I207" s="4">
        <f>VLOOKUP($A207,'Institution Evaluation'!$A$56:$K$345,9,0)&amp;""</f>
      </c>
      <c r="J207" s="4">
        <f>VLOOKUP($A207,'Institution Evaluation'!$A$56:$K$345,10,0)&amp;""</f>
      </c>
      <c r="K207" s="4">
        <f>IF($I207='Auto Responses'!$J$11,20,IF($I207='Auto Responses'!$J$13,5,10))</f>
      </c>
      <c r="L207" s="106">
        <f>IF($E207='Auto Responses'!$L$13, 'Auto Responses'!$J$5,IF(AND($D207='Auto Responses'!$J$27,$H207=""),'Auto Responses'!$J$5,IF(AND($D207='Auto Responses'!$J$27,$H207='Auto Responses'!$J$7),1,IF(AND($D207='Auto Responses'!$J$27,$H207='Auto Responses'!$J$8),0,IF(OR(AND($F207=$G207,$H207=""),$H207='Auto Responses'!$J$7),1,0)))))</f>
      </c>
      <c r="M207" s="4">
        <f>VLOOKUP($A207,'Institution Evaluation'!$A$56:$K$345,11,0)&amp;""</f>
      </c>
      <c r="N207" s="4">
        <f>IF($J207='Auto Responses'!$J$11,1,IF(AND($J207="",$I207='Auto Responses'!$J$11),1,0))</f>
      </c>
      <c r="O207" s="106">
        <f>IF(OR($F$21='Auto Responses'!$J$4,$E207='Auto Responses'!$L$13,$F207='Auto Responses'!$J$5),'Auto Responses'!$J$5,IF($J207="",$K207,IF($J207='Auto Responses'!$J$13,5,IF($J207='Auto Responses'!$J$12,10,IF($J207='Auto Responses'!$J$11,20,0)))))</f>
      </c>
      <c r="P207" s="106">
        <f>IF(OR($O207='Auto Responses'!$J$5,$L207='Auto Responses'!$J$5),'Auto Responses'!$J$5,$O207*$L207)</f>
      </c>
      <c r="Q207" s="106">
        <f t="shared" si="21"/>
      </c>
      <c r="R207" s="106">
        <f t="shared" si="26"/>
      </c>
      <c r="S207" s="106">
        <f t="shared" si="22"/>
      </c>
      <c r="T207" s="106">
        <f t="shared" si="23"/>
      </c>
      <c r="U207" s="106">
        <f t="shared" si="27"/>
      </c>
      <c r="V207" s="106">
        <f t="shared" si="24"/>
      </c>
    </row>
    <row r="208" spans="1:22" ht="60" x14ac:dyDescent="0.2">
      <c r="A208" s="4">
        <f>Questions!$A208</f>
      </c>
      <c r="B208" s="4">
        <f t="shared" si="25"/>
      </c>
      <c r="C208" s="4">
        <f>VLOOKUP($A208,Questions!$A$3:$L$333,2,0)&amp;""</f>
      </c>
      <c r="D208" s="4">
        <f>VLOOKUP($A208,Questions!$A$3:$L$333,11,0)&amp;""</f>
      </c>
      <c r="E208" s="4">
        <f>VLOOKUP($A208,Questions!$A$3:$L$333,12,0)&amp;""</f>
      </c>
      <c r="F208" s="4">
        <f>VLOOKUP($A208,'Institution Evaluation'!$A$56:$K$345,3,0)&amp;""</f>
      </c>
      <c r="G208" s="4">
        <f>VLOOKUP($A208,'Institution Evaluation'!$A$56:$K$345,7,0)&amp;""</f>
      </c>
      <c r="H208" s="4">
        <f>VLOOKUP($A208,'Institution Evaluation'!$A$56:$K$345,8,0)&amp;""</f>
      </c>
      <c r="I208" s="4">
        <f>VLOOKUP($A208,'Institution Evaluation'!$A$56:$K$345,9,0)&amp;""</f>
      </c>
      <c r="J208" s="4">
        <f>VLOOKUP($A208,'Institution Evaluation'!$A$56:$K$345,10,0)&amp;""</f>
      </c>
      <c r="K208" s="4">
        <f>IF($I208='Auto Responses'!$J$11,20,IF($I208='Auto Responses'!$J$13,5,10))</f>
      </c>
      <c r="L208" s="106">
        <f>IF($E208='Auto Responses'!$L$13, 'Auto Responses'!$J$5,IF(AND($D208='Auto Responses'!$J$27,$H208=""),'Auto Responses'!$J$5,IF(AND($D208='Auto Responses'!$J$27,$H208='Auto Responses'!$J$7),1,IF(AND($D208='Auto Responses'!$J$27,$H208='Auto Responses'!$J$8),0,IF(OR(AND($F208=$G208,$H208=""),$H208='Auto Responses'!$J$7),1,0)))))</f>
      </c>
      <c r="M208" s="4">
        <f>VLOOKUP($A208,'Institution Evaluation'!$A$56:$K$345,11,0)&amp;""</f>
      </c>
      <c r="N208" s="4">
        <f>IF($J208='Auto Responses'!$J$11,1,IF(AND($J208="",$I208='Auto Responses'!$J$11),1,0))</f>
      </c>
      <c r="O208" s="106">
        <f>IF(OR($F$21='Auto Responses'!$J$4,$E208='Auto Responses'!$L$13,$F208='Auto Responses'!$J$5),'Auto Responses'!$J$5,IF($J208="",$K208,IF($J208='Auto Responses'!$J$13,5,IF($J208='Auto Responses'!$J$12,10,IF($J208='Auto Responses'!$J$11,20,0)))))</f>
      </c>
      <c r="P208" s="106">
        <f>IF(OR($O208='Auto Responses'!$J$5,$L208='Auto Responses'!$J$5),'Auto Responses'!$J$5,$O208*$L208)</f>
      </c>
      <c r="Q208" s="106">
        <f t="shared" si="21"/>
      </c>
      <c r="R208" s="106">
        <f t="shared" si="26"/>
      </c>
      <c r="S208" s="106">
        <f t="shared" si="22"/>
      </c>
      <c r="T208" s="106">
        <f t="shared" si="23"/>
      </c>
      <c r="U208" s="106">
        <f t="shared" si="27"/>
      </c>
      <c r="V208" s="106">
        <f t="shared" si="24"/>
      </c>
    </row>
    <row r="209" spans="1:22" ht="60" x14ac:dyDescent="0.2">
      <c r="A209" s="4">
        <f>Questions!$A209</f>
      </c>
      <c r="B209" s="4">
        <f t="shared" si="25"/>
      </c>
      <c r="C209" s="4">
        <f>VLOOKUP($A209,Questions!$A$3:$L$333,2,0)&amp;""</f>
      </c>
      <c r="D209" s="4">
        <f>VLOOKUP($A209,Questions!$A$3:$L$333,11,0)&amp;""</f>
      </c>
      <c r="E209" s="4">
        <f>VLOOKUP($A209,Questions!$A$3:$L$333,12,0)&amp;""</f>
      </c>
      <c r="F209" s="4">
        <f>VLOOKUP($A209,'Institution Evaluation'!$A$56:$K$345,3,0)&amp;""</f>
      </c>
      <c r="G209" s="4">
        <f>VLOOKUP($A209,'Institution Evaluation'!$A$56:$K$345,7,0)&amp;""</f>
      </c>
      <c r="H209" s="4">
        <f>VLOOKUP($A209,'Institution Evaluation'!$A$56:$K$345,8,0)&amp;""</f>
      </c>
      <c r="I209" s="4">
        <f>VLOOKUP($A209,'Institution Evaluation'!$A$56:$K$345,9,0)&amp;""</f>
      </c>
      <c r="J209" s="4">
        <f>VLOOKUP($A209,'Institution Evaluation'!$A$56:$K$345,10,0)&amp;""</f>
      </c>
      <c r="K209" s="4">
        <f>IF($I209='Auto Responses'!$J$11,20,IF($I209='Auto Responses'!$J$13,5,10))</f>
      </c>
      <c r="L209" s="106">
        <f>IF($E209='Auto Responses'!$L$13, 'Auto Responses'!$J$5,IF(AND($D209='Auto Responses'!$J$27,$H209=""),'Auto Responses'!$J$5,IF(AND($D209='Auto Responses'!$J$27,$H209='Auto Responses'!$J$7),1,IF(AND($D209='Auto Responses'!$J$27,$H209='Auto Responses'!$J$8),0,IF(OR(AND($F209=$G209,$H209=""),$H209='Auto Responses'!$J$7),1,0)))))</f>
      </c>
      <c r="M209" s="4">
        <f>VLOOKUP($A209,'Institution Evaluation'!$A$56:$K$345,11,0)&amp;""</f>
      </c>
      <c r="N209" s="4">
        <f>IF($J209='Auto Responses'!$J$11,1,IF(AND($J209="",$I209='Auto Responses'!$J$11),1,0))</f>
      </c>
      <c r="O209" s="106">
        <f>IF(OR($F$21='Auto Responses'!$J$4,$E209='Auto Responses'!$L$13,$F209='Auto Responses'!$J$5),'Auto Responses'!$J$5,IF($J209="",$K209,IF($J209='Auto Responses'!$J$13,5,IF($J209='Auto Responses'!$J$12,10,IF($J209='Auto Responses'!$J$11,20,0)))))</f>
      </c>
      <c r="P209" s="106">
        <f>IF(OR($O209='Auto Responses'!$J$5,$L209='Auto Responses'!$J$5),'Auto Responses'!$J$5,$O209*$L209)</f>
      </c>
      <c r="Q209" s="106">
        <f t="shared" si="21"/>
      </c>
      <c r="R209" s="106">
        <f t="shared" si="26"/>
      </c>
      <c r="S209" s="106">
        <f t="shared" si="22"/>
      </c>
      <c r="T209" s="106">
        <f t="shared" si="23"/>
      </c>
      <c r="U209" s="106">
        <f t="shared" si="27"/>
      </c>
      <c r="V209" s="106">
        <f t="shared" si="24"/>
      </c>
    </row>
    <row r="210" spans="1:22" ht="60" x14ac:dyDescent="0.2">
      <c r="A210" s="4">
        <f>Questions!$A210</f>
      </c>
      <c r="B210" s="4">
        <f t="shared" si="25"/>
      </c>
      <c r="C210" s="4">
        <f>VLOOKUP($A210,Questions!$A$3:$L$333,2,0)&amp;""</f>
      </c>
      <c r="D210" s="4">
        <f>VLOOKUP($A210,Questions!$A$3:$L$333,11,0)&amp;""</f>
      </c>
      <c r="E210" s="4">
        <f>VLOOKUP($A210,Questions!$A$3:$L$333,12,0)&amp;""</f>
      </c>
      <c r="F210" s="4">
        <f>VLOOKUP($A210,'Institution Evaluation'!$A$56:$K$345,3,0)&amp;""</f>
      </c>
      <c r="G210" s="4">
        <f>VLOOKUP($A210,'Institution Evaluation'!$A$56:$K$345,7,0)&amp;""</f>
      </c>
      <c r="H210" s="4">
        <f>VLOOKUP($A210,'Institution Evaluation'!$A$56:$K$345,8,0)&amp;""</f>
      </c>
      <c r="I210" s="4">
        <f>VLOOKUP($A210,'Institution Evaluation'!$A$56:$K$345,9,0)&amp;""</f>
      </c>
      <c r="J210" s="4">
        <f>VLOOKUP($A210,'Institution Evaluation'!$A$56:$K$345,10,0)&amp;""</f>
      </c>
      <c r="K210" s="4">
        <f>IF($I210='Auto Responses'!$J$11,20,IF($I210='Auto Responses'!$J$13,5,10))</f>
      </c>
      <c r="L210" s="106">
        <f>IF($E210='Auto Responses'!$L$13, 'Auto Responses'!$J$5,IF(AND($D210='Auto Responses'!$J$27,$H210=""),'Auto Responses'!$J$5,IF(AND($D210='Auto Responses'!$J$27,$H210='Auto Responses'!$J$7),1,IF(AND($D210='Auto Responses'!$J$27,$H210='Auto Responses'!$J$8),0,IF(OR(AND($F210=$G210,$H210=""),$H210='Auto Responses'!$J$7),1,0)))))</f>
      </c>
      <c r="M210" s="4">
        <f>VLOOKUP($A210,'Institution Evaluation'!$A$56:$K$345,11,0)&amp;""</f>
      </c>
      <c r="N210" s="4">
        <f>IF($J210='Auto Responses'!$J$11,1,IF(AND($J210="",$I210='Auto Responses'!$J$11),1,0))</f>
      </c>
      <c r="O210" s="106">
        <f>IF(OR($F$21='Auto Responses'!$J$4,$E210='Auto Responses'!$L$13,$F210='Auto Responses'!$J$5),'Auto Responses'!$J$5,IF($J210="",$K210,IF($J210='Auto Responses'!$J$13,5,IF($J210='Auto Responses'!$J$12,10,IF($J210='Auto Responses'!$J$11,20,0)))))</f>
      </c>
      <c r="P210" s="106">
        <f>IF(OR($O210='Auto Responses'!$J$5,$L210='Auto Responses'!$J$5),'Auto Responses'!$J$5,$O210*$L210)</f>
      </c>
      <c r="Q210" s="106">
        <f t="shared" si="21"/>
      </c>
      <c r="R210" s="106">
        <f t="shared" si="26"/>
      </c>
      <c r="S210" s="106">
        <f t="shared" si="22"/>
      </c>
      <c r="T210" s="106">
        <f t="shared" si="23"/>
      </c>
      <c r="U210" s="106">
        <f t="shared" si="27"/>
      </c>
      <c r="V210" s="106">
        <f t="shared" si="24"/>
      </c>
    </row>
    <row r="211" spans="1:22" ht="60" x14ac:dyDescent="0.2">
      <c r="A211" s="4">
        <f>Questions!$A211</f>
      </c>
      <c r="B211" s="4">
        <f t="shared" si="25"/>
      </c>
      <c r="C211" s="4">
        <f>VLOOKUP($A211,Questions!$A$3:$L$333,2,0)&amp;""</f>
      </c>
      <c r="D211" s="4">
        <f>VLOOKUP($A211,Questions!$A$3:$L$333,11,0)&amp;""</f>
      </c>
      <c r="E211" s="4">
        <f>VLOOKUP($A211,Questions!$A$3:$L$333,12,0)&amp;""</f>
      </c>
      <c r="F211" s="4">
        <f>VLOOKUP($A211,'Institution Evaluation'!$A$56:$K$345,3,0)&amp;""</f>
      </c>
      <c r="G211" s="4">
        <f>VLOOKUP($A211,'Institution Evaluation'!$A$56:$K$345,7,0)&amp;""</f>
      </c>
      <c r="H211" s="4">
        <f>VLOOKUP($A211,'Institution Evaluation'!$A$56:$K$345,8,0)&amp;""</f>
      </c>
      <c r="I211" s="4">
        <f>VLOOKUP($A211,'Institution Evaluation'!$A$56:$K$345,9,0)&amp;""</f>
      </c>
      <c r="J211" s="4">
        <f>VLOOKUP($A211,'Institution Evaluation'!$A$56:$K$345,10,0)&amp;""</f>
      </c>
      <c r="K211" s="4">
        <f>IF($I211='Auto Responses'!$J$11,20,IF($I211='Auto Responses'!$J$13,5,10))</f>
      </c>
      <c r="L211" s="106">
        <f>IF($E211='Auto Responses'!$L$13, 'Auto Responses'!$J$5,IF(AND($D211='Auto Responses'!$J$27,$H211=""),'Auto Responses'!$J$5,IF(AND($D211='Auto Responses'!$J$27,$H211='Auto Responses'!$J$7),1,IF(AND($D211='Auto Responses'!$J$27,$H211='Auto Responses'!$J$8),0,IF(OR(AND($F211=$G211,$H211=""),$H211='Auto Responses'!$J$7),1,0)))))</f>
      </c>
      <c r="M211" s="4">
        <f>VLOOKUP($A211,'Institution Evaluation'!$A$56:$K$345,11,0)&amp;""</f>
      </c>
      <c r="N211" s="4">
        <f>IF($J211='Auto Responses'!$J$11,1,IF(AND($J211="",$I211='Auto Responses'!$J$11),1,0))</f>
      </c>
      <c r="O211" s="106">
        <f>IF(OR($F$21='Auto Responses'!$J$4,$E211='Auto Responses'!$L$13,$F211='Auto Responses'!$J$5),'Auto Responses'!$J$5,IF($J211="",$K211,IF($J211='Auto Responses'!$J$13,5,IF($J211='Auto Responses'!$J$12,10,IF($J211='Auto Responses'!$J$11,20,0)))))</f>
      </c>
      <c r="P211" s="106">
        <f>IF(OR($O211='Auto Responses'!$J$5,$L211='Auto Responses'!$J$5),'Auto Responses'!$J$5,$O211*$L211)</f>
      </c>
      <c r="Q211" s="106">
        <f t="shared" si="21"/>
      </c>
      <c r="R211" s="106">
        <f t="shared" si="26"/>
      </c>
      <c r="S211" s="106">
        <f t="shared" si="22"/>
      </c>
      <c r="T211" s="106">
        <f t="shared" si="23"/>
      </c>
      <c r="U211" s="106">
        <f t="shared" si="27"/>
      </c>
      <c r="V211" s="106">
        <f t="shared" si="24"/>
      </c>
    </row>
    <row r="212" spans="1:22" ht="60" x14ac:dyDescent="0.2">
      <c r="A212" s="4">
        <f>Questions!$A212</f>
      </c>
      <c r="B212" s="4">
        <f t="shared" si="25"/>
      </c>
      <c r="C212" s="4">
        <f>VLOOKUP($A212,Questions!$A$3:$L$333,2,0)&amp;""</f>
      </c>
      <c r="D212" s="4">
        <f>VLOOKUP($A212,Questions!$A$3:$L$333,11,0)&amp;""</f>
      </c>
      <c r="E212" s="4">
        <f>VLOOKUP($A212,Questions!$A$3:$L$333,12,0)&amp;""</f>
      </c>
      <c r="F212" s="4">
        <f>VLOOKUP($A212,'Institution Evaluation'!$A$56:$K$345,3,0)&amp;""</f>
      </c>
      <c r="G212" s="4">
        <f>VLOOKUP($A212,'Institution Evaluation'!$A$56:$K$345,7,0)&amp;""</f>
      </c>
      <c r="H212" s="4">
        <f>VLOOKUP($A212,'Institution Evaluation'!$A$56:$K$345,8,0)&amp;""</f>
      </c>
      <c r="I212" s="4">
        <f>VLOOKUP($A212,'Institution Evaluation'!$A$56:$K$345,9,0)&amp;""</f>
      </c>
      <c r="J212" s="4">
        <f>VLOOKUP($A212,'Institution Evaluation'!$A$56:$K$345,10,0)&amp;""</f>
      </c>
      <c r="K212" s="4">
        <f>IF($I212='Auto Responses'!$J$11,20,IF($I212='Auto Responses'!$J$13,5,10))</f>
      </c>
      <c r="L212" s="106">
        <f>IF($E212='Auto Responses'!$L$13, 'Auto Responses'!$J$5,IF(AND($D212='Auto Responses'!$J$27,$H212=""),'Auto Responses'!$J$5,IF(AND($D212='Auto Responses'!$J$27,$H212='Auto Responses'!$J$7),1,IF(AND($D212='Auto Responses'!$J$27,$H212='Auto Responses'!$J$8),0,IF(OR(AND($F212=$G212,$H212=""),$H212='Auto Responses'!$J$7),1,0)))))</f>
      </c>
      <c r="M212" s="4">
        <f>VLOOKUP($A212,'Institution Evaluation'!$A$56:$K$345,11,0)&amp;""</f>
      </c>
      <c r="N212" s="4">
        <f>IF($J212='Auto Responses'!$J$11,1,IF(AND($J212="",$I212='Auto Responses'!$J$11),1,0))</f>
      </c>
      <c r="O212" s="106">
        <f>IF(OR($F$21='Auto Responses'!$J$4,$E212='Auto Responses'!$L$13,$F212='Auto Responses'!$J$5),'Auto Responses'!$J$5,IF($J212="",$K212,IF($J212='Auto Responses'!$J$13,5,IF($J212='Auto Responses'!$J$12,10,IF($J212='Auto Responses'!$J$11,20,0)))))</f>
      </c>
      <c r="P212" s="106">
        <f>IF(OR($O212='Auto Responses'!$J$5,$L212='Auto Responses'!$J$5),'Auto Responses'!$J$5,$O212*$L212)</f>
      </c>
      <c r="Q212" s="106">
        <f t="shared" si="21"/>
      </c>
      <c r="R212" s="106">
        <f t="shared" si="26"/>
      </c>
      <c r="S212" s="106">
        <f t="shared" si="22"/>
      </c>
      <c r="T212" s="106">
        <f t="shared" si="23"/>
      </c>
      <c r="U212" s="106">
        <f t="shared" si="27"/>
      </c>
      <c r="V212" s="106">
        <f t="shared" si="24"/>
      </c>
    </row>
    <row r="213" spans="1:22" ht="60" x14ac:dyDescent="0.2">
      <c r="A213" s="4">
        <f>Questions!$A213</f>
      </c>
      <c r="B213" s="4">
        <f t="shared" si="25"/>
      </c>
      <c r="C213" s="4">
        <f>VLOOKUP($A213,Questions!$A$3:$L$333,2,0)&amp;""</f>
      </c>
      <c r="D213" s="4">
        <f>VLOOKUP($A213,Questions!$A$3:$L$333,11,0)&amp;""</f>
      </c>
      <c r="E213" s="4">
        <f>VLOOKUP($A213,Questions!$A$3:$L$333,12,0)&amp;""</f>
      </c>
      <c r="F213" s="4">
        <f>VLOOKUP($A213,'Institution Evaluation'!$A$56:$K$345,3,0)&amp;""</f>
      </c>
      <c r="G213" s="4">
        <f>VLOOKUP($A213,'Institution Evaluation'!$A$56:$K$345,7,0)&amp;""</f>
      </c>
      <c r="H213" s="4">
        <f>VLOOKUP($A213,'Institution Evaluation'!$A$56:$K$345,8,0)&amp;""</f>
      </c>
      <c r="I213" s="4">
        <f>VLOOKUP($A213,'Institution Evaluation'!$A$56:$K$345,9,0)&amp;""</f>
      </c>
      <c r="J213" s="4">
        <f>VLOOKUP($A213,'Institution Evaluation'!$A$56:$K$345,10,0)&amp;""</f>
      </c>
      <c r="K213" s="4">
        <f>IF($I213='Auto Responses'!$J$11,20,IF($I213='Auto Responses'!$J$13,5,10))</f>
      </c>
      <c r="L213" s="106">
        <f>IF($E213='Auto Responses'!$L$13, 'Auto Responses'!$J$5,IF(AND($D213='Auto Responses'!$J$27,$H213=""),'Auto Responses'!$J$5,IF(AND($D213='Auto Responses'!$J$27,$H213='Auto Responses'!$J$7),1,IF(AND($D213='Auto Responses'!$J$27,$H213='Auto Responses'!$J$8),0,IF(OR(AND($F213=$G213,$H213=""),$H213='Auto Responses'!$J$7),1,0)))))</f>
      </c>
      <c r="M213" s="4">
        <f>VLOOKUP($A213,'Institution Evaluation'!$A$56:$K$345,11,0)&amp;""</f>
      </c>
      <c r="N213" s="4">
        <f>IF($J213='Auto Responses'!$J$11,1,IF(AND($J213="",$I213='Auto Responses'!$J$11),1,0))</f>
      </c>
      <c r="O213" s="106">
        <f>IF(OR($F$21='Auto Responses'!$J$4,$E213='Auto Responses'!$L$13,$F213='Auto Responses'!$J$5),'Auto Responses'!$J$5,IF($J213="",$K213,IF($J213='Auto Responses'!$J$13,5,IF($J213='Auto Responses'!$J$12,10,IF($J213='Auto Responses'!$J$11,20,0)))))</f>
      </c>
      <c r="P213" s="106">
        <f>IF(OR($O213='Auto Responses'!$J$5,$L213='Auto Responses'!$J$5),'Auto Responses'!$J$5,$O213*$L213)</f>
      </c>
      <c r="Q213" s="106">
        <f t="shared" si="21"/>
      </c>
      <c r="R213" s="106">
        <f t="shared" si="26"/>
      </c>
      <c r="S213" s="106">
        <f t="shared" si="22"/>
      </c>
      <c r="T213" s="106">
        <f t="shared" si="23"/>
      </c>
      <c r="U213" s="106">
        <f t="shared" si="27"/>
      </c>
      <c r="V213" s="106">
        <f t="shared" si="24"/>
      </c>
    </row>
    <row r="214" spans="1:22" ht="60" x14ac:dyDescent="0.2">
      <c r="A214" s="4">
        <f>Questions!$A214</f>
      </c>
      <c r="B214" s="4">
        <f t="shared" si="25"/>
      </c>
      <c r="C214" s="4">
        <f>VLOOKUP($A214,Questions!$A$3:$L$333,2,0)&amp;""</f>
      </c>
      <c r="D214" s="4">
        <f>VLOOKUP($A214,Questions!$A$3:$L$333,11,0)&amp;""</f>
      </c>
      <c r="E214" s="4">
        <f>VLOOKUP($A214,Questions!$A$3:$L$333,12,0)&amp;""</f>
      </c>
      <c r="F214" s="4">
        <f>VLOOKUP($A214,'Institution Evaluation'!$A$56:$K$345,3,0)&amp;""</f>
      </c>
      <c r="G214" s="4">
        <f>VLOOKUP($A214,'Institution Evaluation'!$A$56:$K$345,7,0)&amp;""</f>
      </c>
      <c r="H214" s="4">
        <f>VLOOKUP($A214,'Institution Evaluation'!$A$56:$K$345,8,0)&amp;""</f>
      </c>
      <c r="I214" s="4">
        <f>VLOOKUP($A214,'Institution Evaluation'!$A$56:$K$345,9,0)&amp;""</f>
      </c>
      <c r="J214" s="4">
        <f>VLOOKUP($A214,'Institution Evaluation'!$A$56:$K$345,10,0)&amp;""</f>
      </c>
      <c r="K214" s="4">
        <f>IF($I214='Auto Responses'!$J$11,20,IF($I214='Auto Responses'!$J$13,5,10))</f>
      </c>
      <c r="L214" s="106">
        <f>IF($E214='Auto Responses'!$L$13, 'Auto Responses'!$J$5,IF(AND($D214='Auto Responses'!$J$27,$H214=""),'Auto Responses'!$J$5,IF(AND($D214='Auto Responses'!$J$27,$H214='Auto Responses'!$J$7),1,IF(AND($D214='Auto Responses'!$J$27,$H214='Auto Responses'!$J$8),0,IF(OR(AND($F214=$G214,$H214=""),$H214='Auto Responses'!$J$7),1,0)))))</f>
      </c>
      <c r="M214" s="4">
        <f>VLOOKUP($A214,'Institution Evaluation'!$A$56:$K$345,11,0)&amp;""</f>
      </c>
      <c r="N214" s="4">
        <f>IF($J214='Auto Responses'!$J$11,1,IF(AND($J214="",$I214='Auto Responses'!$J$11),1,0))</f>
      </c>
      <c r="O214" s="106">
        <f>IF(OR($F$21='Auto Responses'!$J$4,$E214='Auto Responses'!$L$13,$F214='Auto Responses'!$J$5),'Auto Responses'!$J$5,IF($J214="",$K214,IF($J214='Auto Responses'!$J$13,5,IF($J214='Auto Responses'!$J$12,10,IF($J214='Auto Responses'!$J$11,20,0)))))</f>
      </c>
      <c r="P214" s="106">
        <f>IF(OR($O214='Auto Responses'!$J$5,$L214='Auto Responses'!$J$5),'Auto Responses'!$J$5,$O214*$L214)</f>
      </c>
      <c r="Q214" s="106">
        <f t="shared" si="21"/>
      </c>
      <c r="R214" s="106">
        <f t="shared" si="26"/>
      </c>
      <c r="S214" s="106">
        <f t="shared" si="22"/>
      </c>
      <c r="T214" s="106">
        <f t="shared" si="23"/>
      </c>
      <c r="U214" s="106">
        <f t="shared" si="27"/>
      </c>
      <c r="V214" s="106">
        <f t="shared" si="24"/>
      </c>
    </row>
    <row r="215" spans="1:22" ht="60" x14ac:dyDescent="0.2">
      <c r="A215" s="4">
        <f>Questions!$A215</f>
      </c>
      <c r="B215" s="4">
        <f t="shared" si="25"/>
      </c>
      <c r="C215" s="4">
        <f>VLOOKUP($A215,Questions!$A$3:$L$333,2,0)&amp;""</f>
      </c>
      <c r="D215" s="4">
        <f>VLOOKUP($A215,Questions!$A$3:$L$333,11,0)&amp;""</f>
      </c>
      <c r="E215" s="4">
        <f>VLOOKUP($A215,Questions!$A$3:$L$333,12,0)&amp;""</f>
      </c>
      <c r="F215" s="4">
        <f>VLOOKUP($A215,'Institution Evaluation'!$A$56:$K$345,3,0)&amp;""</f>
      </c>
      <c r="G215" s="4">
        <f>VLOOKUP($A215,'Institution Evaluation'!$A$56:$K$345,7,0)&amp;""</f>
      </c>
      <c r="H215" s="4">
        <f>VLOOKUP($A215,'Institution Evaluation'!$A$56:$K$345,8,0)&amp;""</f>
      </c>
      <c r="I215" s="4">
        <f>VLOOKUP($A215,'Institution Evaluation'!$A$56:$K$345,9,0)&amp;""</f>
      </c>
      <c r="J215" s="4">
        <f>VLOOKUP($A215,'Institution Evaluation'!$A$56:$K$345,10,0)&amp;""</f>
      </c>
      <c r="K215" s="4">
        <f>IF($I215='Auto Responses'!$J$11,20,IF($I215='Auto Responses'!$J$13,5,10))</f>
      </c>
      <c r="L215" s="106">
        <f>IF($E215='Auto Responses'!$L$13, 'Auto Responses'!$J$5,IF(AND($D215='Auto Responses'!$J$27,$H215=""),'Auto Responses'!$J$5,IF(AND($D215='Auto Responses'!$J$27,$H215='Auto Responses'!$J$7),1,IF(AND($D215='Auto Responses'!$J$27,$H215='Auto Responses'!$J$8),0,IF(OR(AND($F215=$G215,$H215=""),$H215='Auto Responses'!$J$7),1,0)))))</f>
      </c>
      <c r="M215" s="4">
        <f>VLOOKUP($A215,'Institution Evaluation'!$A$56:$K$345,11,0)&amp;""</f>
      </c>
      <c r="N215" s="4">
        <f>IF($J215='Auto Responses'!$J$11,1,IF(AND($J215="",$I215='Auto Responses'!$J$11),1,0))</f>
      </c>
      <c r="O215" s="106">
        <f>IF(OR($F$21='Auto Responses'!$J$4,$E215='Auto Responses'!$L$13,$F215='Auto Responses'!$J$5),'Auto Responses'!$J$5,IF($J215="",$K215,IF($J215='Auto Responses'!$J$13,5,IF($J215='Auto Responses'!$J$12,10,IF($J215='Auto Responses'!$J$11,20,0)))))</f>
      </c>
      <c r="P215" s="106">
        <f>IF(OR($O215='Auto Responses'!$J$5,$L215='Auto Responses'!$J$5),'Auto Responses'!$J$5,$O215*$L215)</f>
      </c>
      <c r="Q215" s="106">
        <f t="shared" si="21"/>
      </c>
      <c r="R215" s="106">
        <f t="shared" si="26"/>
      </c>
      <c r="S215" s="106">
        <f t="shared" si="22"/>
      </c>
      <c r="T215" s="106">
        <f t="shared" si="23"/>
      </c>
      <c r="U215" s="106">
        <f t="shared" si="27"/>
      </c>
      <c r="V215" s="106">
        <f t="shared" si="24"/>
      </c>
    </row>
    <row r="216" spans="1:22" ht="60" x14ac:dyDescent="0.2">
      <c r="A216" s="4">
        <f>Questions!$A216</f>
      </c>
      <c r="B216" s="4">
        <f t="shared" si="25"/>
      </c>
      <c r="C216" s="4">
        <f>VLOOKUP($A216,Questions!$A$3:$L$333,2,0)&amp;""</f>
      </c>
      <c r="D216" s="4">
        <f>VLOOKUP($A216,Questions!$A$3:$L$333,11,0)&amp;""</f>
      </c>
      <c r="E216" s="4">
        <f>VLOOKUP($A216,Questions!$A$3:$L$333,12,0)&amp;""</f>
      </c>
      <c r="F216" s="4">
        <f>VLOOKUP($A216,'Institution Evaluation'!$A$56:$K$345,3,0)&amp;""</f>
      </c>
      <c r="G216" s="4">
        <f>VLOOKUP($A216,'Institution Evaluation'!$A$56:$K$345,7,0)&amp;""</f>
      </c>
      <c r="H216" s="4">
        <f>VLOOKUP($A216,'Institution Evaluation'!$A$56:$K$345,8,0)&amp;""</f>
      </c>
      <c r="I216" s="4">
        <f>VLOOKUP($A216,'Institution Evaluation'!$A$56:$K$345,9,0)&amp;""</f>
      </c>
      <c r="J216" s="4">
        <f>VLOOKUP($A216,'Institution Evaluation'!$A$56:$K$345,10,0)&amp;""</f>
      </c>
      <c r="K216" s="4">
        <f>IF($I216='Auto Responses'!$J$11,20,IF($I216='Auto Responses'!$J$13,5,10))</f>
      </c>
      <c r="L216" s="106">
        <f>IF($E216='Auto Responses'!$L$13, 'Auto Responses'!$J$5,IF(AND($D216='Auto Responses'!$J$27,$H216=""),'Auto Responses'!$J$5,IF(AND($D216='Auto Responses'!$J$27,$H216='Auto Responses'!$J$7),1,IF(AND($D216='Auto Responses'!$J$27,$H216='Auto Responses'!$J$8),0,IF(OR(AND($F216=$G216,$H216=""),$H216='Auto Responses'!$J$7),1,0)))))</f>
      </c>
      <c r="M216" s="4">
        <f>VLOOKUP($A216,'Institution Evaluation'!$A$56:$K$345,11,0)&amp;""</f>
      </c>
      <c r="N216" s="4">
        <f>IF($J216='Auto Responses'!$J$11,1,IF(AND($J216="",$I216='Auto Responses'!$J$11),1,0))</f>
      </c>
      <c r="O216" s="106">
        <f>IF(OR($F$22='Auto Responses'!$J$4,$E216='Auto Responses'!$L$13,$F216='Auto Responses'!$J$5),'Auto Responses'!$J$5,IF($J216="",$K216,IF($J216='Auto Responses'!$J$13,5,IF($J216='Auto Responses'!$J$12,10,IF($J216='Auto Responses'!$J$11,20,0)))))</f>
      </c>
      <c r="P216" s="106">
        <f>IF(OR($O216='Auto Responses'!$J$5,$L216='Auto Responses'!$J$5),'Auto Responses'!$J$5,$O216*$L216)</f>
      </c>
      <c r="Q216" s="106">
        <f t="shared" si="21"/>
      </c>
      <c r="R216" s="106">
        <f t="shared" si="26"/>
      </c>
      <c r="S216" s="106">
        <f t="shared" si="22"/>
      </c>
      <c r="T216" s="106">
        <f t="shared" si="23"/>
      </c>
      <c r="U216" s="106">
        <f t="shared" si="27"/>
      </c>
      <c r="V216" s="106">
        <f t="shared" si="24"/>
      </c>
    </row>
    <row r="217" spans="1:22" ht="60" x14ac:dyDescent="0.2">
      <c r="A217" s="4">
        <f>Questions!$A217</f>
      </c>
      <c r="B217" s="4">
        <f t="shared" si="25"/>
      </c>
      <c r="C217" s="4">
        <f>VLOOKUP($A217,Questions!$A$3:$L$333,2,0)&amp;""</f>
      </c>
      <c r="D217" s="4">
        <f>VLOOKUP($A217,Questions!$A$3:$L$333,11,0)&amp;""</f>
      </c>
      <c r="E217" s="4">
        <f>VLOOKUP($A217,Questions!$A$3:$L$333,12,0)&amp;""</f>
      </c>
      <c r="F217" s="4">
        <f>VLOOKUP($A217,'Institution Evaluation'!$A$56:$K$345,3,0)&amp;""</f>
      </c>
      <c r="G217" s="4">
        <f>VLOOKUP($A217,'Institution Evaluation'!$A$56:$K$345,7,0)&amp;""</f>
      </c>
      <c r="H217" s="4">
        <f>VLOOKUP($A217,'Institution Evaluation'!$A$56:$K$345,8,0)&amp;""</f>
      </c>
      <c r="I217" s="4">
        <f>VLOOKUP($A217,'Institution Evaluation'!$A$56:$K$345,9,0)&amp;""</f>
      </c>
      <c r="J217" s="4">
        <f>VLOOKUP($A217,'Institution Evaluation'!$A$56:$K$345,10,0)&amp;""</f>
      </c>
      <c r="K217" s="4">
        <f>IF($I217='Auto Responses'!$J$11,20,IF($I217='Auto Responses'!$J$13,5,10))</f>
      </c>
      <c r="L217" s="106">
        <f>IF($E217='Auto Responses'!$L$13, 'Auto Responses'!$J$5,IF(AND($D217='Auto Responses'!$J$27,$H217=""),'Auto Responses'!$J$5,IF(AND($D217='Auto Responses'!$J$27,$H217='Auto Responses'!$J$7),1,IF(AND($D217='Auto Responses'!$J$27,$H217='Auto Responses'!$J$8),0,IF(OR(AND($F217=$G217,$H217=""),$H217='Auto Responses'!$J$7),1,0)))))</f>
      </c>
      <c r="M217" s="4">
        <f>VLOOKUP($A217,'Institution Evaluation'!$A$56:$K$345,11,0)&amp;""</f>
      </c>
      <c r="N217" s="4">
        <f>IF($J217='Auto Responses'!$J$11,1,IF(AND($J217="",$I217='Auto Responses'!$J$11),1,0))</f>
      </c>
      <c r="O217" s="106">
        <f>IF(OR($F$22='Auto Responses'!$J$4,$E217='Auto Responses'!$L$13,$F217='Auto Responses'!$J$5),'Auto Responses'!$J$5,IF($J217="",$K217,IF($J217='Auto Responses'!$J$13,5,IF($J217='Auto Responses'!$J$12,10,IF($J217='Auto Responses'!$J$11,20,0)))))</f>
      </c>
      <c r="P217" s="106">
        <f>IF(OR($O217='Auto Responses'!$J$5,$L217='Auto Responses'!$J$5),'Auto Responses'!$J$5,$O217*$L217)</f>
      </c>
      <c r="Q217" s="106">
        <f t="shared" si="21"/>
      </c>
      <c r="R217" s="106">
        <f t="shared" si="26"/>
      </c>
      <c r="S217" s="106">
        <f t="shared" si="22"/>
      </c>
      <c r="T217" s="106">
        <f t="shared" si="23"/>
      </c>
      <c r="U217" s="106">
        <f t="shared" si="27"/>
      </c>
      <c r="V217" s="106">
        <f t="shared" si="24"/>
      </c>
    </row>
    <row r="218" spans="1:22" ht="60" x14ac:dyDescent="0.2">
      <c r="A218" s="4">
        <f>Questions!$A218</f>
      </c>
      <c r="B218" s="4">
        <f t="shared" si="25"/>
      </c>
      <c r="C218" s="4">
        <f>VLOOKUP($A218,Questions!$A$3:$L$333,2,0)&amp;""</f>
      </c>
      <c r="D218" s="4">
        <f>VLOOKUP($A218,Questions!$A$3:$L$333,11,0)&amp;""</f>
      </c>
      <c r="E218" s="4">
        <f>VLOOKUP($A218,Questions!$A$3:$L$333,12,0)&amp;""</f>
      </c>
      <c r="F218" s="4">
        <f>VLOOKUP($A218,'Institution Evaluation'!$A$56:$K$345,3,0)&amp;""</f>
      </c>
      <c r="G218" s="4">
        <f>VLOOKUP($A218,'Institution Evaluation'!$A$56:$K$345,7,0)&amp;""</f>
      </c>
      <c r="H218" s="4">
        <f>VLOOKUP($A218,'Institution Evaluation'!$A$56:$K$345,8,0)&amp;""</f>
      </c>
      <c r="I218" s="4">
        <f>VLOOKUP($A218,'Institution Evaluation'!$A$56:$K$345,9,0)&amp;""</f>
      </c>
      <c r="J218" s="4">
        <f>VLOOKUP($A218,'Institution Evaluation'!$A$56:$K$345,10,0)&amp;""</f>
      </c>
      <c r="K218" s="4">
        <f>IF($I218='Auto Responses'!$J$11,20,IF($I218='Auto Responses'!$J$13,5,10))</f>
      </c>
      <c r="L218" s="106">
        <f>IF($E218='Auto Responses'!$L$13, 'Auto Responses'!$J$5,IF(AND($D218='Auto Responses'!$J$27,$H218=""),'Auto Responses'!$J$5,IF(AND($D218='Auto Responses'!$J$27,$H218='Auto Responses'!$J$7),1,IF(AND($D218='Auto Responses'!$J$27,$H218='Auto Responses'!$J$8),0,IF(OR(AND($F218=$G218,$H218=""),$H218='Auto Responses'!$J$7),1,0)))))</f>
      </c>
      <c r="M218" s="4">
        <f>VLOOKUP($A218,'Institution Evaluation'!$A$56:$K$345,11,0)&amp;""</f>
      </c>
      <c r="N218" s="4">
        <f>IF($J218='Auto Responses'!$J$11,1,IF(AND($J218="",$I218='Auto Responses'!$J$11),1,0))</f>
      </c>
      <c r="O218" s="106">
        <f>IF(OR($F$22='Auto Responses'!$J$4,$E218='Auto Responses'!$L$13,$F218='Auto Responses'!$J$5),'Auto Responses'!$J$5,IF($J218="",$K218,IF($J218='Auto Responses'!$J$13,5,IF($J218='Auto Responses'!$J$12,10,IF($J218='Auto Responses'!$J$11,20,0)))))</f>
      </c>
      <c r="P218" s="106">
        <f>IF(OR($O218='Auto Responses'!$J$5,$L218='Auto Responses'!$J$5),'Auto Responses'!$J$5,$O218*$L218)</f>
      </c>
      <c r="Q218" s="106">
        <f t="shared" si="21"/>
      </c>
      <c r="R218" s="106">
        <f t="shared" si="26"/>
      </c>
      <c r="S218" s="106">
        <f t="shared" si="22"/>
      </c>
      <c r="T218" s="106">
        <f t="shared" si="23"/>
      </c>
      <c r="U218" s="106">
        <f t="shared" si="27"/>
      </c>
      <c r="V218" s="106">
        <f t="shared" si="24"/>
      </c>
    </row>
    <row r="219" spans="1:22" ht="60" x14ac:dyDescent="0.2">
      <c r="A219" s="4">
        <f>Questions!$A219</f>
      </c>
      <c r="B219" s="4">
        <f t="shared" si="25"/>
      </c>
      <c r="C219" s="4">
        <f>VLOOKUP($A219,Questions!$A$3:$L$333,2,0)&amp;""</f>
      </c>
      <c r="D219" s="4">
        <f>VLOOKUP($A219,Questions!$A$3:$L$333,11,0)&amp;""</f>
      </c>
      <c r="E219" s="4">
        <f>VLOOKUP($A219,Questions!$A$3:$L$333,12,0)&amp;""</f>
      </c>
      <c r="F219" s="4">
        <f>VLOOKUP($A219,'Institution Evaluation'!$A$56:$K$345,3,0)&amp;""</f>
      </c>
      <c r="G219" s="4">
        <f>VLOOKUP($A219,'Institution Evaluation'!$A$56:$K$345,7,0)&amp;""</f>
      </c>
      <c r="H219" s="4">
        <f>VLOOKUP($A219,'Institution Evaluation'!$A$56:$K$345,8,0)&amp;""</f>
      </c>
      <c r="I219" s="4">
        <f>VLOOKUP($A219,'Institution Evaluation'!$A$56:$K$345,9,0)&amp;""</f>
      </c>
      <c r="J219" s="4">
        <f>VLOOKUP($A219,'Institution Evaluation'!$A$56:$K$345,10,0)&amp;""</f>
      </c>
      <c r="K219" s="4">
        <f>IF($I219='Auto Responses'!$J$11,20,IF($I219='Auto Responses'!$J$13,5,10))</f>
      </c>
      <c r="L219" s="106">
        <f>IF($E219='Auto Responses'!$L$13, 'Auto Responses'!$J$5,IF(AND($D219='Auto Responses'!$J$27,$H219=""),'Auto Responses'!$J$5,IF(AND($D219='Auto Responses'!$J$27,$H219='Auto Responses'!$J$7),1,IF(AND($D219='Auto Responses'!$J$27,$H219='Auto Responses'!$J$8),0,IF(OR(AND($F219=$G219,$H219=""),$H219='Auto Responses'!$J$7),1,0)))))</f>
      </c>
      <c r="M219" s="4">
        <f>VLOOKUP($A219,'Institution Evaluation'!$A$56:$K$345,11,0)&amp;""</f>
      </c>
      <c r="N219" s="4">
        <f>IF($J219='Auto Responses'!$J$11,1,IF(AND($J219="",$I219='Auto Responses'!$J$11),1,0))</f>
      </c>
      <c r="O219" s="106">
        <f>IF(OR($F$22='Auto Responses'!$J$4,$E219='Auto Responses'!$L$13,$F219='Auto Responses'!$J$5),'Auto Responses'!$J$5,IF($J219="",$K219,IF($J219='Auto Responses'!$J$13,5,IF($J219='Auto Responses'!$J$12,10,IF($J219='Auto Responses'!$J$11,20,0)))))</f>
      </c>
      <c r="P219" s="106">
        <f>IF(OR($O219='Auto Responses'!$J$5,$L219='Auto Responses'!$J$5),'Auto Responses'!$J$5,$O219*$L219)</f>
      </c>
      <c r="Q219" s="106">
        <f t="shared" si="21"/>
      </c>
      <c r="R219" s="106">
        <f t="shared" si="26"/>
      </c>
      <c r="S219" s="106">
        <f t="shared" si="22"/>
      </c>
      <c r="T219" s="106">
        <f t="shared" si="23"/>
      </c>
      <c r="U219" s="106">
        <f t="shared" si="27"/>
      </c>
      <c r="V219" s="106">
        <f t="shared" si="24"/>
      </c>
    </row>
    <row r="220" spans="1:22" ht="60" x14ac:dyDescent="0.2">
      <c r="A220" s="4">
        <f>Questions!$A220</f>
      </c>
      <c r="B220" s="4">
        <f t="shared" si="25"/>
      </c>
      <c r="C220" s="4">
        <f>VLOOKUP($A220,Questions!$A$3:$L$333,2,0)&amp;""</f>
      </c>
      <c r="D220" s="4">
        <f>VLOOKUP($A220,Questions!$A$3:$L$333,11,0)&amp;""</f>
      </c>
      <c r="E220" s="4">
        <f>VLOOKUP($A220,Questions!$A$3:$L$333,12,0)&amp;""</f>
      </c>
      <c r="F220" s="4">
        <f>VLOOKUP($A220,'Institution Evaluation'!$A$56:$K$345,3,0)&amp;""</f>
      </c>
      <c r="G220" s="4">
        <f>VLOOKUP($A220,'Institution Evaluation'!$A$56:$K$345,7,0)&amp;""</f>
      </c>
      <c r="H220" s="4">
        <f>VLOOKUP($A220,'Institution Evaluation'!$A$56:$K$345,8,0)&amp;""</f>
      </c>
      <c r="I220" s="4">
        <f>VLOOKUP($A220,'Institution Evaluation'!$A$56:$K$345,9,0)&amp;""</f>
      </c>
      <c r="J220" s="4">
        <f>VLOOKUP($A220,'Institution Evaluation'!$A$56:$K$345,10,0)&amp;""</f>
      </c>
      <c r="K220" s="4">
        <f>IF($I220='Auto Responses'!$J$11,20,IF($I220='Auto Responses'!$J$13,5,10))</f>
      </c>
      <c r="L220" s="106">
        <f>IF($E220='Auto Responses'!$L$13, 'Auto Responses'!$J$5,IF(AND($D220='Auto Responses'!$J$27,$H220=""),'Auto Responses'!$J$5,IF(AND($D220='Auto Responses'!$J$27,$H220='Auto Responses'!$J$7),1,IF(AND($D220='Auto Responses'!$J$27,$H220='Auto Responses'!$J$8),0,IF(OR(AND($F220=$G220,$H220=""),$H220='Auto Responses'!$J$7),1,0)))))</f>
      </c>
      <c r="M220" s="4">
        <f>VLOOKUP($A220,'Institution Evaluation'!$A$56:$K$345,11,0)&amp;""</f>
      </c>
      <c r="N220" s="4">
        <f>IF($J220='Auto Responses'!$J$11,1,IF(AND($J220="",$I220='Auto Responses'!$J$11),1,0))</f>
      </c>
      <c r="O220" s="106">
        <f>IF(OR($F$22='Auto Responses'!$J$4,$E220='Auto Responses'!$L$13,$F220='Auto Responses'!$J$5),'Auto Responses'!$J$5,IF($J220="",$K220,IF($J220='Auto Responses'!$J$13,5,IF($J220='Auto Responses'!$J$12,10,IF($J220='Auto Responses'!$J$11,20,0)))))</f>
      </c>
      <c r="P220" s="106">
        <f>IF(OR($O220='Auto Responses'!$J$5,$L220='Auto Responses'!$J$5),'Auto Responses'!$J$5,$O220*$L220)</f>
      </c>
      <c r="Q220" s="106">
        <f t="shared" si="21"/>
      </c>
      <c r="R220" s="106">
        <f t="shared" si="26"/>
      </c>
      <c r="S220" s="106">
        <f t="shared" si="22"/>
      </c>
      <c r="T220" s="106">
        <f t="shared" si="23"/>
      </c>
      <c r="U220" s="106">
        <f t="shared" si="27"/>
      </c>
      <c r="V220" s="106">
        <f t="shared" si="24"/>
      </c>
    </row>
    <row r="221" spans="1:22" ht="60" x14ac:dyDescent="0.2">
      <c r="A221" s="4">
        <f>Questions!$A221</f>
      </c>
      <c r="B221" s="4">
        <f t="shared" si="25"/>
      </c>
      <c r="C221" s="4">
        <f>VLOOKUP($A221,Questions!$A$3:$L$333,2,0)&amp;""</f>
      </c>
      <c r="D221" s="4">
        <f>VLOOKUP($A221,Questions!$A$3:$L$333,11,0)&amp;""</f>
      </c>
      <c r="E221" s="4">
        <f>VLOOKUP($A221,Questions!$A$3:$L$333,12,0)&amp;""</f>
      </c>
      <c r="F221" s="4">
        <f>VLOOKUP($A221,'Institution Evaluation'!$A$56:$K$345,3,0)&amp;""</f>
      </c>
      <c r="G221" s="4">
        <f>VLOOKUP($A221,'Institution Evaluation'!$A$56:$K$345,7,0)&amp;""</f>
      </c>
      <c r="H221" s="4">
        <f>VLOOKUP($A221,'Institution Evaluation'!$A$56:$K$345,8,0)&amp;""</f>
      </c>
      <c r="I221" s="4">
        <f>VLOOKUP($A221,'Institution Evaluation'!$A$56:$K$345,9,0)&amp;""</f>
      </c>
      <c r="J221" s="4">
        <f>VLOOKUP($A221,'Institution Evaluation'!$A$56:$K$345,10,0)&amp;""</f>
      </c>
      <c r="K221" s="4">
        <f>IF($I221='Auto Responses'!$J$11,20,IF($I221='Auto Responses'!$J$13,5,10))</f>
      </c>
      <c r="L221" s="106">
        <f>IF($E221='Auto Responses'!$L$13, 'Auto Responses'!$J$5,IF(AND($D221='Auto Responses'!$J$27,$H221=""),'Auto Responses'!$J$5,IF(AND($D221='Auto Responses'!$J$27,$H221='Auto Responses'!$J$7),1,IF(AND($D221='Auto Responses'!$J$27,$H221='Auto Responses'!$J$8),0,IF(OR(AND($F221=$G221,$H221=""),$H221='Auto Responses'!$J$7),1,0)))))</f>
      </c>
      <c r="M221" s="4">
        <f>VLOOKUP($A221,'Institution Evaluation'!$A$56:$K$345,11,0)&amp;""</f>
      </c>
      <c r="N221" s="4">
        <f>IF($J221='Auto Responses'!$J$11,1,IF(AND($J221="",$I221='Auto Responses'!$J$11),1,0))</f>
      </c>
      <c r="O221" s="106">
        <f>IF(OR($F$22='Auto Responses'!$J$4,$E221='Auto Responses'!$L$13,$F221='Auto Responses'!$J$5),'Auto Responses'!$J$5,IF($J221="",$K221,IF($J221='Auto Responses'!$J$13,5,IF($J221='Auto Responses'!$J$12,10,IF($J221='Auto Responses'!$J$11,20,0)))))</f>
      </c>
      <c r="P221" s="106">
        <f>IF(OR($O221='Auto Responses'!$J$5,$L221='Auto Responses'!$J$5),'Auto Responses'!$J$5,$O221*$L221)</f>
      </c>
      <c r="Q221" s="106">
        <f t="shared" si="21"/>
      </c>
      <c r="R221" s="106">
        <f t="shared" si="26"/>
      </c>
      <c r="S221" s="106">
        <f t="shared" si="22"/>
      </c>
      <c r="T221" s="106">
        <f t="shared" si="23"/>
      </c>
      <c r="U221" s="106">
        <f t="shared" si="27"/>
      </c>
      <c r="V221" s="106">
        <f t="shared" si="24"/>
      </c>
    </row>
    <row r="222" spans="1:22" ht="60" x14ac:dyDescent="0.2">
      <c r="A222" s="4">
        <f>Questions!$A222</f>
      </c>
      <c r="B222" s="4">
        <f t="shared" si="25"/>
      </c>
      <c r="C222" s="4">
        <f>VLOOKUP($A222,Questions!$A$3:$L$333,2,0)&amp;""</f>
      </c>
      <c r="D222" s="4">
        <f>VLOOKUP($A222,Questions!$A$3:$L$333,11,0)&amp;""</f>
      </c>
      <c r="E222" s="4">
        <f>VLOOKUP($A222,Questions!$A$3:$L$333,12,0)&amp;""</f>
      </c>
      <c r="F222" s="4">
        <f>VLOOKUP($A222,'Institution Evaluation'!$A$56:$K$345,3,0)&amp;""</f>
      </c>
      <c r="G222" s="4">
        <f>VLOOKUP($A222,'Institution Evaluation'!$A$56:$K$345,7,0)&amp;""</f>
      </c>
      <c r="H222" s="4">
        <f>VLOOKUP($A222,'Institution Evaluation'!$A$56:$K$345,8,0)&amp;""</f>
      </c>
      <c r="I222" s="4">
        <f>VLOOKUP($A222,'Institution Evaluation'!$A$56:$K$345,9,0)&amp;""</f>
      </c>
      <c r="J222" s="4">
        <f>VLOOKUP($A222,'Institution Evaluation'!$A$56:$K$345,10,0)&amp;""</f>
      </c>
      <c r="K222" s="4">
        <f>IF($I222='Auto Responses'!$J$11,20,IF($I222='Auto Responses'!$J$13,5,10))</f>
      </c>
      <c r="L222" s="106">
        <f>IF($E222='Auto Responses'!$L$13, 'Auto Responses'!$J$5,IF(AND($D222='Auto Responses'!$J$27,$H222=""),'Auto Responses'!$J$5,IF(AND($D222='Auto Responses'!$J$27,$H222='Auto Responses'!$J$7),1,IF(AND($D222='Auto Responses'!$J$27,$H222='Auto Responses'!$J$8),0,IF(OR(AND($F222=$G222,$H222=""),$H222='Auto Responses'!$J$7),1,0)))))</f>
      </c>
      <c r="M222" s="4">
        <f>VLOOKUP($A222,'Institution Evaluation'!$A$56:$K$345,11,0)&amp;""</f>
      </c>
      <c r="N222" s="4">
        <f>IF($J222='Auto Responses'!$J$11,1,IF(AND($J222="",$I222='Auto Responses'!$J$11),1,0))</f>
      </c>
      <c r="O222" s="106">
        <f>IF(OR($F$22='Auto Responses'!$J$4,$E222='Auto Responses'!$L$13,$F222='Auto Responses'!$J$5),'Auto Responses'!$J$5,IF($J222="",$K222,IF($J222='Auto Responses'!$J$13,5,IF($J222='Auto Responses'!$J$12,10,IF($J222='Auto Responses'!$J$11,20,0)))))</f>
      </c>
      <c r="P222" s="106">
        <f>IF(OR($O222='Auto Responses'!$J$5,$L222='Auto Responses'!$J$5),'Auto Responses'!$J$5,$O222*$L222)</f>
      </c>
      <c r="Q222" s="106">
        <f t="shared" si="21"/>
      </c>
      <c r="R222" s="106">
        <f t="shared" si="26"/>
      </c>
      <c r="S222" s="106">
        <f t="shared" si="22"/>
      </c>
      <c r="T222" s="106">
        <f t="shared" si="23"/>
      </c>
      <c r="U222" s="106">
        <f t="shared" si="27"/>
      </c>
      <c r="V222" s="106">
        <f t="shared" si="24"/>
      </c>
    </row>
    <row r="223" spans="1:22" ht="60" x14ac:dyDescent="0.2">
      <c r="A223" s="4">
        <f>Questions!$A223</f>
      </c>
      <c r="B223" s="4">
        <f t="shared" si="25"/>
      </c>
      <c r="C223" s="4">
        <f>VLOOKUP($A223,Questions!$A$3:$L$333,2,0)&amp;""</f>
      </c>
      <c r="D223" s="4">
        <f>VLOOKUP($A223,Questions!$A$3:$L$333,11,0)&amp;""</f>
      </c>
      <c r="E223" s="4">
        <f>VLOOKUP($A223,Questions!$A$3:$L$333,12,0)&amp;""</f>
      </c>
      <c r="F223" s="4">
        <f>VLOOKUP($A223,'Institution Evaluation'!$A$56:$K$345,3,0)&amp;""</f>
      </c>
      <c r="G223" s="4">
        <f>VLOOKUP($A223,'Institution Evaluation'!$A$56:$K$345,7,0)&amp;""</f>
      </c>
      <c r="H223" s="4">
        <f>VLOOKUP($A223,'Institution Evaluation'!$A$56:$K$345,8,0)&amp;""</f>
      </c>
      <c r="I223" s="4">
        <f>VLOOKUP($A223,'Institution Evaluation'!$A$56:$K$345,9,0)&amp;""</f>
      </c>
      <c r="J223" s="4">
        <f>VLOOKUP($A223,'Institution Evaluation'!$A$56:$K$345,10,0)&amp;""</f>
      </c>
      <c r="K223" s="4">
        <f>IF($I223='Auto Responses'!$J$11,20,IF($I223='Auto Responses'!$J$13,5,10))</f>
      </c>
      <c r="L223" s="106">
        <f>IF($E223='Auto Responses'!$L$13, 'Auto Responses'!$J$5,IF(AND($D223='Auto Responses'!$J$27,$H223=""),'Auto Responses'!$J$5,IF(AND($D223='Auto Responses'!$J$27,$H223='Auto Responses'!$J$7),1,IF(AND($D223='Auto Responses'!$J$27,$H223='Auto Responses'!$J$8),0,IF(OR(AND($F223=$G223,$H223=""),$H223='Auto Responses'!$J$7),1,0)))))</f>
      </c>
      <c r="M223" s="4">
        <f>VLOOKUP($A223,'Institution Evaluation'!$A$56:$K$345,11,0)&amp;""</f>
      </c>
      <c r="N223" s="4">
        <f>IF($J223='Auto Responses'!$J$11,1,IF(AND($J223="",$I223='Auto Responses'!$J$11),1,0))</f>
      </c>
      <c r="O223" s="106">
        <f>IF(OR($F$22='Auto Responses'!$J$4,$E223='Auto Responses'!$L$13,$F223='Auto Responses'!$J$5),'Auto Responses'!$J$5,IF($J223="",$K223,IF($J223='Auto Responses'!$J$13,5,IF($J223='Auto Responses'!$J$12,10,IF($J223='Auto Responses'!$J$11,20,0)))))</f>
      </c>
      <c r="P223" s="106">
        <f>IF(OR($O223='Auto Responses'!$J$5,$L223='Auto Responses'!$J$5),'Auto Responses'!$J$5,$O223*$L223)</f>
      </c>
      <c r="Q223" s="106">
        <f t="shared" si="21"/>
      </c>
      <c r="R223" s="106">
        <f t="shared" si="26"/>
      </c>
      <c r="S223" s="106">
        <f t="shared" si="22"/>
      </c>
      <c r="T223" s="106">
        <f t="shared" si="23"/>
      </c>
      <c r="U223" s="106">
        <f t="shared" si="27"/>
      </c>
      <c r="V223" s="106">
        <f t="shared" si="24"/>
      </c>
    </row>
    <row r="224" spans="1:22" ht="270" x14ac:dyDescent="0.2">
      <c r="A224" s="4">
        <f>Questions!$A224</f>
      </c>
      <c r="B224" s="4">
        <f t="shared" si="25"/>
      </c>
      <c r="C224" s="4">
        <f>VLOOKUP($A224,Questions!$A$3:$L$333,2,0)&amp;""</f>
      </c>
      <c r="D224" s="4">
        <f>VLOOKUP($A224,Questions!$A$3:$L$333,11,0)&amp;""</f>
      </c>
      <c r="E224" s="4">
        <f>VLOOKUP($A224,Questions!$A$3:$L$333,12,0)&amp;""</f>
      </c>
      <c r="F224" s="4">
        <f>VLOOKUP($A224,'Institution Evaluation'!$A$56:$K$345,3,0)&amp;""</f>
      </c>
      <c r="G224" s="4">
        <f>VLOOKUP($A224,'Institution Evaluation'!$A$56:$K$345,7,0)&amp;""</f>
      </c>
      <c r="H224" s="4">
        <f>VLOOKUP($A224,'Institution Evaluation'!$A$56:$K$345,8,0)&amp;""</f>
      </c>
      <c r="I224" s="4">
        <f>VLOOKUP($A224,'Institution Evaluation'!$A$56:$K$345,9,0)&amp;""</f>
      </c>
      <c r="J224" s="4">
        <f>VLOOKUP($A224,'Institution Evaluation'!$A$56:$K$345,10,0)&amp;""</f>
      </c>
      <c r="K224" s="4">
        <f>IF($I224='Auto Responses'!$J$11,20,IF($I224='Auto Responses'!$J$13,5,10))</f>
      </c>
      <c r="L224" s="106">
        <f>IF($E224='Auto Responses'!$L$13, 'Auto Responses'!$J$5,IF(AND($D224='Auto Responses'!$J$27,$H224=""),'Auto Responses'!$J$5,IF(AND($D224='Auto Responses'!$J$27,$H224='Auto Responses'!$J$7),1,IF(AND($D224='Auto Responses'!$J$27,$H224='Auto Responses'!$J$8),0,IF(OR(AND($F224=$G224,$H224=""),$H224='Auto Responses'!$J$7),1,0)))))</f>
      </c>
      <c r="M224" s="4">
        <f>VLOOKUP($A224,'Institution Evaluation'!$A$56:$K$345,11,0)&amp;""</f>
      </c>
      <c r="N224" s="4">
        <f>IF($J224='Auto Responses'!$J$11,1,IF(AND($J224="",$I224='Auto Responses'!$J$11),1,0))</f>
      </c>
      <c r="O224" s="106">
        <f>IF(OR($F$22='Auto Responses'!$J$4,$E224='Auto Responses'!$L$13,$F224='Auto Responses'!$J$5),'Auto Responses'!$J$5,IF($J224="",$K224,IF($J224='Auto Responses'!$J$13,5,IF($J224='Auto Responses'!$J$12,10,IF($J224='Auto Responses'!$J$11,20,0)))))</f>
      </c>
      <c r="P224" s="106">
        <f>IF(OR($O224='Auto Responses'!$J$5,$L224='Auto Responses'!$J$5),'Auto Responses'!$J$5,$O224*$L224)</f>
      </c>
      <c r="Q224" s="106">
        <f t="shared" si="21"/>
      </c>
      <c r="R224" s="106">
        <f t="shared" si="26"/>
      </c>
      <c r="S224" s="106">
        <f t="shared" si="22"/>
      </c>
      <c r="T224" s="106">
        <f t="shared" si="23"/>
      </c>
      <c r="U224" s="106">
        <f t="shared" si="27"/>
      </c>
      <c r="V224" s="106">
        <f t="shared" si="24"/>
      </c>
    </row>
    <row r="225" spans="1:22" ht="60" x14ac:dyDescent="0.2">
      <c r="A225" s="4">
        <f>Questions!$A225</f>
      </c>
      <c r="B225" s="4">
        <f t="shared" si="25"/>
      </c>
      <c r="C225" s="4">
        <f>VLOOKUP($A225,Questions!$A$3:$L$333,2,0)&amp;""</f>
      </c>
      <c r="D225" s="4">
        <f>VLOOKUP($A225,Questions!$A$3:$L$333,11,0)&amp;""</f>
      </c>
      <c r="E225" s="4">
        <f>VLOOKUP($A225,Questions!$A$3:$L$333,12,0)&amp;""</f>
      </c>
      <c r="F225" s="4">
        <f>VLOOKUP($A225,'Institution Evaluation'!$A$56:$K$345,3,0)&amp;""</f>
      </c>
      <c r="G225" s="4">
        <f>VLOOKUP($A225,'Institution Evaluation'!$A$56:$K$345,7,0)&amp;""</f>
      </c>
      <c r="H225" s="4">
        <f>VLOOKUP($A225,'Institution Evaluation'!$A$56:$K$345,8,0)&amp;""</f>
      </c>
      <c r="I225" s="4">
        <f>VLOOKUP($A225,'Institution Evaluation'!$A$56:$K$345,9,0)&amp;""</f>
      </c>
      <c r="J225" s="4">
        <f>VLOOKUP($A225,'Institution Evaluation'!$A$56:$K$345,10,0)&amp;""</f>
      </c>
      <c r="K225" s="4">
        <f>IF($I225='Auto Responses'!$J$11,20,IF($I225='Auto Responses'!$J$13,5,10))</f>
      </c>
      <c r="L225" s="106">
        <f>IF($E225='Auto Responses'!$L$13, 'Auto Responses'!$J$5,IF(AND($D225='Auto Responses'!$J$27,$H225=""),'Auto Responses'!$J$5,IF(AND($D225='Auto Responses'!$J$27,$H225='Auto Responses'!$J$7),1,IF(AND($D225='Auto Responses'!$J$27,$H225='Auto Responses'!$J$8),0,IF(OR(AND($F225=$G225,$H225=""),$H225='Auto Responses'!$J$7),1,0)))))</f>
      </c>
      <c r="M225" s="4">
        <f>VLOOKUP($A225,'Institution Evaluation'!$A$56:$K$345,11,0)&amp;""</f>
      </c>
      <c r="N225" s="4">
        <f>IF($J225='Auto Responses'!$J$11,1,IF(AND($J225="",$I225='Auto Responses'!$J$11),1,0))</f>
      </c>
      <c r="O225" s="106">
        <f>IF(OR($F$22='Auto Responses'!$J$4,$E225='Auto Responses'!$L$13,$F225='Auto Responses'!$J$5),'Auto Responses'!$J$5,IF($J225="",$K225,IF($J225='Auto Responses'!$J$13,5,IF($J225='Auto Responses'!$J$12,10,IF($J225='Auto Responses'!$J$11,20,0)))))</f>
      </c>
      <c r="P225" s="106">
        <f>IF(OR($O225='Auto Responses'!$J$5,$L225='Auto Responses'!$J$5),'Auto Responses'!$J$5,$O225*$L225)</f>
      </c>
      <c r="Q225" s="106">
        <f t="shared" si="21"/>
      </c>
      <c r="R225" s="106">
        <f t="shared" si="26"/>
      </c>
      <c r="S225" s="106">
        <f t="shared" si="22"/>
      </c>
      <c r="T225" s="106">
        <f t="shared" si="23"/>
      </c>
      <c r="U225" s="106">
        <f t="shared" si="27"/>
      </c>
      <c r="V225" s="106">
        <f t="shared" si="24"/>
      </c>
    </row>
    <row r="226" spans="1:22" ht="60" x14ac:dyDescent="0.2">
      <c r="A226" s="4">
        <f>Questions!$A226</f>
      </c>
      <c r="B226" s="4">
        <f t="shared" si="25"/>
      </c>
      <c r="C226" s="4">
        <f>VLOOKUP($A226,Questions!$A$3:$L$333,2,0)&amp;""</f>
      </c>
      <c r="D226" s="4">
        <f>VLOOKUP($A226,Questions!$A$3:$L$333,11,0)&amp;""</f>
      </c>
      <c r="E226" s="4">
        <f>VLOOKUP($A226,Questions!$A$3:$L$333,12,0)&amp;""</f>
      </c>
      <c r="F226" s="4">
        <f>VLOOKUP($A226,'Institution Evaluation'!$A$56:$K$345,3,0)&amp;""</f>
      </c>
      <c r="G226" s="4">
        <f>VLOOKUP($A226,'Institution Evaluation'!$A$56:$K$345,7,0)&amp;""</f>
      </c>
      <c r="H226" s="4">
        <f>VLOOKUP($A226,'Institution Evaluation'!$A$56:$K$345,8,0)&amp;""</f>
      </c>
      <c r="I226" s="4">
        <f>VLOOKUP($A226,'Institution Evaluation'!$A$56:$K$345,9,0)&amp;""</f>
      </c>
      <c r="J226" s="4">
        <f>VLOOKUP($A226,'Institution Evaluation'!$A$56:$K$345,10,0)&amp;""</f>
      </c>
      <c r="K226" s="4">
        <f>IF($I226='Auto Responses'!$J$11,20,IF($I226='Auto Responses'!$J$13,5,10))</f>
      </c>
      <c r="L226" s="106">
        <f>IF($E226='Auto Responses'!$L$13, 'Auto Responses'!$J$5,IF(AND($D226='Auto Responses'!$J$27,$H226=""),'Auto Responses'!$J$5,IF(AND($D226='Auto Responses'!$J$27,$H226='Auto Responses'!$J$7),1,IF(AND($D226='Auto Responses'!$J$27,$H226='Auto Responses'!$J$8),0,IF(OR(AND($F226=$G226,$H226=""),$H226='Auto Responses'!$J$7),1,0)))))</f>
      </c>
      <c r="M226" s="4">
        <f>VLOOKUP($A226,'Institution Evaluation'!$A$56:$K$345,11,0)&amp;""</f>
      </c>
      <c r="N226" s="4">
        <f>IF($J226='Auto Responses'!$J$11,1,IF(AND($J226="",$I226='Auto Responses'!$J$11),1,0))</f>
      </c>
      <c r="O226" s="106">
        <f>IF(OR($F$22='Auto Responses'!$J$4,$E226='Auto Responses'!$L$13,$F226='Auto Responses'!$J$5),'Auto Responses'!$J$5,IF($J226="",$K226,IF($J226='Auto Responses'!$J$13,5,IF($J226='Auto Responses'!$J$12,10,IF($J226='Auto Responses'!$J$11,20,0)))))</f>
      </c>
      <c r="P226" s="106">
        <f>IF(OR($O226='Auto Responses'!$J$5,$L226='Auto Responses'!$J$5),'Auto Responses'!$J$5,$O226*$L226)</f>
      </c>
      <c r="Q226" s="106">
        <f t="shared" si="21"/>
      </c>
      <c r="R226" s="106">
        <f t="shared" si="26"/>
      </c>
      <c r="S226" s="106">
        <f t="shared" si="22"/>
      </c>
      <c r="T226" s="106">
        <f t="shared" si="23"/>
      </c>
      <c r="U226" s="106">
        <f t="shared" si="27"/>
      </c>
      <c r="V226" s="106">
        <f t="shared" si="24"/>
      </c>
    </row>
    <row r="227" spans="1:22" ht="120" x14ac:dyDescent="0.2">
      <c r="A227" s="4">
        <f>Questions!$A227</f>
      </c>
      <c r="B227" s="4">
        <f t="shared" si="25"/>
      </c>
      <c r="C227" s="4">
        <f>VLOOKUP($A227,Questions!$A$3:$L$333,2,0)&amp;""</f>
      </c>
      <c r="D227" s="4">
        <f>VLOOKUP($A227,Questions!$A$3:$L$333,11,0)&amp;""</f>
      </c>
      <c r="E227" s="4">
        <f>VLOOKUP($A227,Questions!$A$3:$L$333,12,0)&amp;""</f>
      </c>
      <c r="F227" s="4">
        <f>VLOOKUP($A227,'Institution Evaluation'!$A$56:$K$345,3,0)&amp;""</f>
      </c>
      <c r="G227" s="4">
        <f>VLOOKUP($A227,'Institution Evaluation'!$A$56:$K$345,7,0)&amp;""</f>
      </c>
      <c r="H227" s="4">
        <f>VLOOKUP($A227,'Institution Evaluation'!$A$56:$K$345,8,0)&amp;""</f>
      </c>
      <c r="I227" s="4">
        <f>VLOOKUP($A227,'Institution Evaluation'!$A$56:$K$345,9,0)&amp;""</f>
      </c>
      <c r="J227" s="4">
        <f>VLOOKUP($A227,'Institution Evaluation'!$A$56:$K$345,10,0)&amp;""</f>
      </c>
      <c r="K227" s="4">
        <f>IF($I227='Auto Responses'!$J$11,20,IF($I227='Auto Responses'!$J$13,5,10))</f>
      </c>
      <c r="L227" s="106">
        <f>IF($E227='Auto Responses'!$L$13, 'Auto Responses'!$J$5,IF(AND($D227='Auto Responses'!$J$27,$H227=""),'Auto Responses'!$J$5,IF(AND($D227='Auto Responses'!$J$27,$H227='Auto Responses'!$J$7),1,IF(AND($D227='Auto Responses'!$J$27,$H227='Auto Responses'!$J$8),0,IF(OR(AND($F227=$G227,$H227=""),$H227='Auto Responses'!$J$7),1,0)))))</f>
      </c>
      <c r="M227" s="4">
        <f>VLOOKUP($A227,'Institution Evaluation'!$A$56:$K$345,11,0)&amp;""</f>
      </c>
      <c r="N227" s="4">
        <f>IF($J227='Auto Responses'!$J$11,1,IF(AND($J227="",$I227='Auto Responses'!$J$11),1,0))</f>
      </c>
      <c r="O227" s="106">
        <f>IF(OR($F$22='Auto Responses'!$J$4,$E227='Auto Responses'!$L$13,$F227='Auto Responses'!$J$5),'Auto Responses'!$J$5,IF($J227="",$K227,IF($J227='Auto Responses'!$J$13,5,IF($J227='Auto Responses'!$J$12,10,IF($J227='Auto Responses'!$J$11,20,0)))))</f>
      </c>
      <c r="P227" s="106">
        <f>IF(OR($O227='Auto Responses'!$J$5,$L227='Auto Responses'!$J$5),'Auto Responses'!$J$5,$O227*$L227)</f>
      </c>
      <c r="Q227" s="106">
        <f t="shared" si="21"/>
      </c>
      <c r="R227" s="106">
        <f t="shared" si="26"/>
      </c>
      <c r="S227" s="106">
        <f t="shared" si="22"/>
      </c>
      <c r="T227" s="106">
        <f t="shared" si="23"/>
      </c>
      <c r="U227" s="106">
        <f t="shared" si="27"/>
      </c>
      <c r="V227" s="106">
        <f t="shared" si="24"/>
      </c>
    </row>
    <row r="228" spans="1:22" ht="60" x14ac:dyDescent="0.2">
      <c r="A228" s="4">
        <f>Questions!$A228</f>
      </c>
      <c r="B228" s="4">
        <f t="shared" si="25"/>
      </c>
      <c r="C228" s="4">
        <f>VLOOKUP($A228,Questions!$A$3:$L$333,2,0)&amp;""</f>
      </c>
      <c r="D228" s="4">
        <f>VLOOKUP($A228,Questions!$A$3:$L$333,11,0)&amp;""</f>
      </c>
      <c r="E228" s="4">
        <f>VLOOKUP($A228,Questions!$A$3:$L$333,12,0)&amp;""</f>
      </c>
      <c r="F228" s="4">
        <f>VLOOKUP($A228,'Institution Evaluation'!$A$56:$K$345,3,0)&amp;""</f>
      </c>
      <c r="G228" s="4">
        <f>VLOOKUP($A228,'Institution Evaluation'!$A$56:$K$345,7,0)&amp;""</f>
      </c>
      <c r="H228" s="4">
        <f>VLOOKUP($A228,'Institution Evaluation'!$A$56:$K$345,8,0)&amp;""</f>
      </c>
      <c r="I228" s="4">
        <f>VLOOKUP($A228,'Institution Evaluation'!$A$56:$K$345,9,0)&amp;""</f>
      </c>
      <c r="J228" s="4">
        <f>VLOOKUP($A228,'Institution Evaluation'!$A$56:$K$345,10,0)&amp;""</f>
      </c>
      <c r="K228" s="4">
        <f>IF($I228='Auto Responses'!$J$11,20,IF($I228='Auto Responses'!$J$13,5,10))</f>
      </c>
      <c r="L228" s="106">
        <f>IF($E228='Auto Responses'!$L$13, 'Auto Responses'!$J$5,IF(AND($D228='Auto Responses'!$J$27,$H228=""),'Auto Responses'!$J$5,IF(AND($D228='Auto Responses'!$J$27,$H228='Auto Responses'!$J$7),1,IF(AND($D228='Auto Responses'!$J$27,$H228='Auto Responses'!$J$8),0,IF(OR(AND($F228=$G228,$H228=""),$H228='Auto Responses'!$J$7),1,0)))))</f>
      </c>
      <c r="M228" s="4">
        <f>VLOOKUP($A228,'Institution Evaluation'!$A$56:$K$345,11,0)&amp;""</f>
      </c>
      <c r="N228" s="4">
        <f>IF($J228='Auto Responses'!$J$11,1,IF(AND($J228="",$I228='Auto Responses'!$J$11),1,0))</f>
      </c>
      <c r="O228" s="106">
        <f>IF(OR($F$23='Auto Responses'!$J$4,$E228='Auto Responses'!$L$13,$F228='Auto Responses'!$J$5),'Auto Responses'!$J$5,IF($J228="",$K228,IF($J228='Auto Responses'!$J$13,5,IF($J228='Auto Responses'!$J$12,10,IF($J228='Auto Responses'!$J$11,20,0)))))</f>
      </c>
      <c r="P228" s="106">
        <f>IF(OR($O228='Auto Responses'!$J$5,$L228='Auto Responses'!$J$5),'Auto Responses'!$J$5,$O228*$L228)</f>
      </c>
      <c r="Q228" s="106">
        <f t="shared" si="21"/>
      </c>
      <c r="R228" s="106">
        <f t="shared" si="26"/>
      </c>
      <c r="S228" s="106">
        <f t="shared" si="22"/>
      </c>
      <c r="T228" s="106">
        <f t="shared" si="23"/>
      </c>
      <c r="U228" s="106">
        <f t="shared" si="27"/>
      </c>
      <c r="V228" s="106">
        <f t="shared" si="24"/>
      </c>
    </row>
    <row r="229" spans="1:22" ht="60" x14ac:dyDescent="0.2">
      <c r="A229" s="4">
        <f>Questions!$A229</f>
      </c>
      <c r="B229" s="4">
        <f t="shared" si="25"/>
      </c>
      <c r="C229" s="4">
        <f>VLOOKUP($A229,Questions!$A$3:$L$333,2,0)&amp;""</f>
      </c>
      <c r="D229" s="4">
        <f>VLOOKUP($A229,Questions!$A$3:$L$333,11,0)&amp;""</f>
      </c>
      <c r="E229" s="4">
        <f>VLOOKUP($A229,Questions!$A$3:$L$333,12,0)&amp;""</f>
      </c>
      <c r="F229" s="4">
        <f>VLOOKUP($A229,'Institution Evaluation'!$A$56:$K$345,3,0)&amp;""</f>
      </c>
      <c r="G229" s="4">
        <f>VLOOKUP($A229,'Institution Evaluation'!$A$56:$K$345,7,0)&amp;""</f>
      </c>
      <c r="H229" s="4">
        <f>VLOOKUP($A229,'Institution Evaluation'!$A$56:$K$345,8,0)&amp;""</f>
      </c>
      <c r="I229" s="4">
        <f>VLOOKUP($A229,'Institution Evaluation'!$A$56:$K$345,9,0)&amp;""</f>
      </c>
      <c r="J229" s="4">
        <f>VLOOKUP($A229,'Institution Evaluation'!$A$56:$K$345,10,0)&amp;""</f>
      </c>
      <c r="K229" s="4">
        <f>IF($I229='Auto Responses'!$J$11,20,IF($I229='Auto Responses'!$J$13,5,10))</f>
      </c>
      <c r="L229" s="106">
        <f>IF($E229='Auto Responses'!$L$13, 'Auto Responses'!$J$5,IF(AND($D229='Auto Responses'!$J$27,$H229=""),'Auto Responses'!$J$5,IF(AND($D229='Auto Responses'!$J$27,$H229='Auto Responses'!$J$7),1,IF(AND($D229='Auto Responses'!$J$27,$H229='Auto Responses'!$J$8),0,IF(OR(AND($F229=$G229,$H229=""),$H229='Auto Responses'!$J$7),1,0)))))</f>
      </c>
      <c r="M229" s="4">
        <f>VLOOKUP($A229,'Institution Evaluation'!$A$56:$K$345,11,0)&amp;""</f>
      </c>
      <c r="N229" s="4">
        <f>IF($J229='Auto Responses'!$J$11,1,IF(AND($J229="",$I229='Auto Responses'!$J$11),1,0))</f>
      </c>
      <c r="O229" s="106">
        <f>IF(OR($F$23='Auto Responses'!$J$4,$E229='Auto Responses'!$L$13,$F229='Auto Responses'!$J$5),'Auto Responses'!$J$5,IF($J229="",$K229,IF($J229='Auto Responses'!$J$13,5,IF($J229='Auto Responses'!$J$12,10,IF($J229='Auto Responses'!$J$11,20,0)))))</f>
      </c>
      <c r="P229" s="106">
        <f>IF(OR($O229='Auto Responses'!$J$5,$L229='Auto Responses'!$J$5),'Auto Responses'!$J$5,$O229*$L229)</f>
      </c>
      <c r="Q229" s="106">
        <f t="shared" si="21"/>
      </c>
      <c r="R229" s="106">
        <f t="shared" si="26"/>
      </c>
      <c r="S229" s="106">
        <f t="shared" si="22"/>
      </c>
      <c r="T229" s="106">
        <f t="shared" si="23"/>
      </c>
      <c r="U229" s="106">
        <f t="shared" si="27"/>
      </c>
      <c r="V229" s="106">
        <f t="shared" si="24"/>
      </c>
    </row>
    <row r="230" spans="1:22" ht="60" x14ac:dyDescent="0.2">
      <c r="A230" s="4">
        <f>Questions!$A230</f>
      </c>
      <c r="B230" s="4">
        <f t="shared" si="25"/>
      </c>
      <c r="C230" s="4">
        <f>VLOOKUP($A230,Questions!$A$3:$L$333,2,0)&amp;""</f>
      </c>
      <c r="D230" s="4">
        <f>VLOOKUP($A230,Questions!$A$3:$L$333,11,0)&amp;""</f>
      </c>
      <c r="E230" s="4">
        <f>VLOOKUP($A230,Questions!$A$3:$L$333,12,0)&amp;""</f>
      </c>
      <c r="F230" s="4">
        <f>VLOOKUP($A230,'Institution Evaluation'!$A$56:$K$345,3,0)&amp;""</f>
      </c>
      <c r="G230" s="4">
        <f>VLOOKUP($A230,'Institution Evaluation'!$A$56:$K$345,7,0)&amp;""</f>
      </c>
      <c r="H230" s="4">
        <f>VLOOKUP($A230,'Institution Evaluation'!$A$56:$K$345,8,0)&amp;""</f>
      </c>
      <c r="I230" s="4">
        <f>VLOOKUP($A230,'Institution Evaluation'!$A$56:$K$345,9,0)&amp;""</f>
      </c>
      <c r="J230" s="4">
        <f>VLOOKUP($A230,'Institution Evaluation'!$A$56:$K$345,10,0)&amp;""</f>
      </c>
      <c r="K230" s="4">
        <f>IF($I230='Auto Responses'!$J$11,20,IF($I230='Auto Responses'!$J$13,5,10))</f>
      </c>
      <c r="L230" s="106">
        <f>IF($E230='Auto Responses'!$L$13, 'Auto Responses'!$J$5,IF(AND($D230='Auto Responses'!$J$27,$H230=""),'Auto Responses'!$J$5,IF(AND($D230='Auto Responses'!$J$27,$H230='Auto Responses'!$J$7),1,IF(AND($D230='Auto Responses'!$J$27,$H230='Auto Responses'!$J$8),0,IF(OR(AND($F230=$G230,$H230=""),$H230='Auto Responses'!$J$7),1,0)))))</f>
      </c>
      <c r="M230" s="4">
        <f>VLOOKUP($A230,'Institution Evaluation'!$A$56:$K$345,11,0)&amp;""</f>
      </c>
      <c r="N230" s="4">
        <f>IF($J230='Auto Responses'!$J$11,1,IF(AND($J230="",$I230='Auto Responses'!$J$11),1,0))</f>
      </c>
      <c r="O230" s="106">
        <f>IF(OR($F$23='Auto Responses'!$J$4,$E230='Auto Responses'!$L$13,$F230='Auto Responses'!$J$5),'Auto Responses'!$J$5,IF($J230="",$K230,IF($J230='Auto Responses'!$J$13,5,IF($J230='Auto Responses'!$J$12,10,IF($J230='Auto Responses'!$J$11,20,0)))))</f>
      </c>
      <c r="P230" s="106">
        <f>IF(OR($O230='Auto Responses'!$J$5,$L230='Auto Responses'!$J$5),'Auto Responses'!$J$5,$O230*$L230)</f>
      </c>
      <c r="Q230" s="106">
        <f t="shared" si="21"/>
      </c>
      <c r="R230" s="106">
        <f t="shared" si="26"/>
      </c>
      <c r="S230" s="106">
        <f t="shared" si="22"/>
      </c>
      <c r="T230" s="106">
        <f t="shared" si="23"/>
      </c>
      <c r="U230" s="106">
        <f t="shared" si="27"/>
      </c>
      <c r="V230" s="106">
        <f t="shared" si="24"/>
      </c>
    </row>
    <row r="231" spans="1:22" ht="60" x14ac:dyDescent="0.2">
      <c r="A231" s="4">
        <f>Questions!$A231</f>
      </c>
      <c r="B231" s="4">
        <f t="shared" si="25"/>
      </c>
      <c r="C231" s="4">
        <f>VLOOKUP($A231,Questions!$A$3:$L$333,2,0)&amp;""</f>
      </c>
      <c r="D231" s="4">
        <f>VLOOKUP($A231,Questions!$A$3:$L$333,11,0)&amp;""</f>
      </c>
      <c r="E231" s="4">
        <f>VLOOKUP($A231,Questions!$A$3:$L$333,12,0)&amp;""</f>
      </c>
      <c r="F231" s="4">
        <f>VLOOKUP($A231,'Institution Evaluation'!$A$56:$K$345,3,0)&amp;""</f>
      </c>
      <c r="G231" s="4">
        <f>VLOOKUP($A231,'Institution Evaluation'!$A$56:$K$345,7,0)&amp;""</f>
      </c>
      <c r="H231" s="4">
        <f>VLOOKUP($A231,'Institution Evaluation'!$A$56:$K$345,8,0)&amp;""</f>
      </c>
      <c r="I231" s="4">
        <f>VLOOKUP($A231,'Institution Evaluation'!$A$56:$K$345,9,0)&amp;""</f>
      </c>
      <c r="J231" s="4">
        <f>VLOOKUP($A231,'Institution Evaluation'!$A$56:$K$345,10,0)&amp;""</f>
      </c>
      <c r="K231" s="4">
        <f>IF($I231='Auto Responses'!$J$11,20,IF($I231='Auto Responses'!$J$13,5,10))</f>
      </c>
      <c r="L231" s="106">
        <f>IF($E231='Auto Responses'!$L$13, 'Auto Responses'!$J$5,IF(AND($D231='Auto Responses'!$J$27,$H231=""),'Auto Responses'!$J$5,IF(AND($D231='Auto Responses'!$J$27,$H231='Auto Responses'!$J$7),1,IF(AND($D231='Auto Responses'!$J$27,$H231='Auto Responses'!$J$8),0,IF(OR(AND($F231=$G231,$H231=""),$H231='Auto Responses'!$J$7),1,0)))))</f>
      </c>
      <c r="M231" s="4">
        <f>VLOOKUP($A231,'Institution Evaluation'!$A$56:$K$345,11,0)&amp;""</f>
      </c>
      <c r="N231" s="4">
        <f>IF($J231='Auto Responses'!$J$11,1,IF(AND($J231="",$I231='Auto Responses'!$J$11),1,0))</f>
      </c>
      <c r="O231" s="106">
        <f>IF(OR($F$23='Auto Responses'!$J$4,$E231='Auto Responses'!$L$13,$F231='Auto Responses'!$J$5),'Auto Responses'!$J$5,IF($J231="",$K231,IF($J231='Auto Responses'!$J$13,5,IF($J231='Auto Responses'!$J$12,10,IF($J231='Auto Responses'!$J$11,20,0)))))</f>
      </c>
      <c r="P231" s="106">
        <f>IF(OR($O231='Auto Responses'!$J$5,$L231='Auto Responses'!$J$5),'Auto Responses'!$J$5,$O231*$L231)</f>
      </c>
      <c r="Q231" s="106">
        <f t="shared" si="21"/>
      </c>
      <c r="R231" s="106">
        <f t="shared" si="26"/>
      </c>
      <c r="S231" s="106">
        <f t="shared" si="22"/>
      </c>
      <c r="T231" s="106">
        <f t="shared" si="23"/>
      </c>
      <c r="U231" s="106">
        <f t="shared" si="27"/>
      </c>
      <c r="V231" s="106">
        <f t="shared" si="24"/>
      </c>
    </row>
    <row r="232" spans="1:22" ht="60" x14ac:dyDescent="0.2">
      <c r="A232" s="4">
        <f>Questions!$A232</f>
      </c>
      <c r="B232" s="4">
        <f t="shared" si="25"/>
      </c>
      <c r="C232" s="4">
        <f>VLOOKUP($A232,Questions!$A$3:$L$333,2,0)&amp;""</f>
      </c>
      <c r="D232" s="4">
        <f>VLOOKUP($A232,Questions!$A$3:$L$333,11,0)&amp;""</f>
      </c>
      <c r="E232" s="4">
        <f>VLOOKUP($A232,Questions!$A$3:$L$333,12,0)&amp;""</f>
      </c>
      <c r="F232" s="4">
        <f>VLOOKUP($A232,'Institution Evaluation'!$A$56:$K$345,3,0)&amp;""</f>
      </c>
      <c r="G232" s="4">
        <f>VLOOKUP($A232,'Institution Evaluation'!$A$56:$K$345,7,0)&amp;""</f>
      </c>
      <c r="H232" s="4">
        <f>VLOOKUP($A232,'Institution Evaluation'!$A$56:$K$345,8,0)&amp;""</f>
      </c>
      <c r="I232" s="4">
        <f>VLOOKUP($A232,'Institution Evaluation'!$A$56:$K$345,9,0)&amp;""</f>
      </c>
      <c r="J232" s="4">
        <f>VLOOKUP($A232,'Institution Evaluation'!$A$56:$K$345,10,0)&amp;""</f>
      </c>
      <c r="K232" s="4">
        <f>IF($I232='Auto Responses'!$J$11,20,IF($I232='Auto Responses'!$J$13,5,10))</f>
      </c>
      <c r="L232" s="106">
        <f>IF($E232='Auto Responses'!$L$13, 'Auto Responses'!$J$5,IF(AND($D232='Auto Responses'!$J$27,$H232=""),'Auto Responses'!$J$5,IF(AND($D232='Auto Responses'!$J$27,$H232='Auto Responses'!$J$7),1,IF(AND($D232='Auto Responses'!$J$27,$H232='Auto Responses'!$J$8),0,IF(OR(AND($F232=$G232,$H232=""),$H232='Auto Responses'!$J$7),1,0)))))</f>
      </c>
      <c r="M232" s="4">
        <f>VLOOKUP($A232,'Institution Evaluation'!$A$56:$K$345,11,0)&amp;""</f>
      </c>
      <c r="N232" s="4">
        <f>IF($J232='Auto Responses'!$J$11,1,IF(AND($J232="",$I232='Auto Responses'!$J$11),1,0))</f>
      </c>
      <c r="O232" s="106">
        <f>IF(OR($F$23='Auto Responses'!$J$4,$E232='Auto Responses'!$L$13,$F232='Auto Responses'!$J$5),'Auto Responses'!$J$5,IF($J232="",$K232,IF($J232='Auto Responses'!$J$13,5,IF($J232='Auto Responses'!$J$12,10,IF($J232='Auto Responses'!$J$11,20,0)))))</f>
      </c>
      <c r="P232" s="106">
        <f>IF(OR($O232='Auto Responses'!$J$5,$L232='Auto Responses'!$J$5),'Auto Responses'!$J$5,$O232*$L232)</f>
      </c>
      <c r="Q232" s="106">
        <f t="shared" si="21"/>
      </c>
      <c r="R232" s="106">
        <f t="shared" si="26"/>
      </c>
      <c r="S232" s="106">
        <f t="shared" si="22"/>
      </c>
      <c r="T232" s="106">
        <f t="shared" si="23"/>
      </c>
      <c r="U232" s="106">
        <f t="shared" si="27"/>
      </c>
      <c r="V232" s="106">
        <f t="shared" si="24"/>
      </c>
    </row>
    <row r="233" spans="1:22" ht="60" x14ac:dyDescent="0.2">
      <c r="A233" s="4">
        <f>Questions!$A233</f>
      </c>
      <c r="B233" s="4">
        <f t="shared" si="25"/>
      </c>
      <c r="C233" s="4">
        <f>VLOOKUP($A233,Questions!$A$3:$L$333,2,0)&amp;""</f>
      </c>
      <c r="D233" s="4">
        <f>VLOOKUP($A233,Questions!$A$3:$L$333,11,0)&amp;""</f>
      </c>
      <c r="E233" s="4">
        <f>VLOOKUP($A233,Questions!$A$3:$L$333,12,0)&amp;""</f>
      </c>
      <c r="F233" s="4">
        <f>VLOOKUP($A233,'Institution Evaluation'!$A$56:$K$345,3,0)&amp;""</f>
      </c>
      <c r="G233" s="4">
        <f>VLOOKUP($A233,'Institution Evaluation'!$A$56:$K$345,7,0)&amp;""</f>
      </c>
      <c r="H233" s="4">
        <f>VLOOKUP($A233,'Institution Evaluation'!$A$56:$K$345,8,0)&amp;""</f>
      </c>
      <c r="I233" s="4">
        <f>VLOOKUP($A233,'Institution Evaluation'!$A$56:$K$345,9,0)&amp;""</f>
      </c>
      <c r="J233" s="4">
        <f>VLOOKUP($A233,'Institution Evaluation'!$A$56:$K$345,10,0)&amp;""</f>
      </c>
      <c r="K233" s="4">
        <f>IF($I233='Auto Responses'!$J$11,20,IF($I233='Auto Responses'!$J$13,5,10))</f>
      </c>
      <c r="L233" s="106">
        <f>IF($E233='Auto Responses'!$L$13, 'Auto Responses'!$J$5,IF(AND($D233='Auto Responses'!$J$27,$H233=""),'Auto Responses'!$J$5,IF(AND($D233='Auto Responses'!$J$27,$H233='Auto Responses'!$J$7),1,IF(AND($D233='Auto Responses'!$J$27,$H233='Auto Responses'!$J$8),0,IF(OR(AND($F233=$G233,$H233=""),$H233='Auto Responses'!$J$7),1,0)))))</f>
      </c>
      <c r="M233" s="4">
        <f>VLOOKUP($A233,'Institution Evaluation'!$A$56:$K$345,11,0)&amp;""</f>
      </c>
      <c r="N233" s="4">
        <f>IF($J233='Auto Responses'!$J$11,1,IF(AND($J233="",$I233='Auto Responses'!$J$11),1,0))</f>
      </c>
      <c r="O233" s="106">
        <f>IF(OR($F$23='Auto Responses'!$J$4,$E233='Auto Responses'!$L$13,$F233='Auto Responses'!$J$5),'Auto Responses'!$J$5,IF($J233="",$K233,IF($J233='Auto Responses'!$J$13,5,IF($J233='Auto Responses'!$J$12,10,IF($J233='Auto Responses'!$J$11,20,0)))))</f>
      </c>
      <c r="P233" s="106">
        <f>IF(OR($O233='Auto Responses'!$J$5,$L233='Auto Responses'!$J$5),'Auto Responses'!$J$5,$O233*$L233)</f>
      </c>
      <c r="Q233" s="106">
        <f t="shared" si="21"/>
      </c>
      <c r="R233" s="106">
        <f t="shared" si="26"/>
      </c>
      <c r="S233" s="106">
        <f t="shared" si="22"/>
      </c>
      <c r="T233" s="106">
        <f t="shared" si="23"/>
      </c>
      <c r="U233" s="106">
        <f t="shared" si="27"/>
      </c>
      <c r="V233" s="106">
        <f t="shared" si="24"/>
      </c>
    </row>
    <row r="234" spans="1:22" ht="60" x14ac:dyDescent="0.2">
      <c r="A234" s="4">
        <f>Questions!$A234</f>
      </c>
      <c r="B234" s="4">
        <f t="shared" si="25"/>
      </c>
      <c r="C234" s="4">
        <f>VLOOKUP($A234,Questions!$A$3:$L$333,2,0)&amp;""</f>
      </c>
      <c r="D234" s="4">
        <f>VLOOKUP($A234,Questions!$A$3:$L$333,11,0)&amp;""</f>
      </c>
      <c r="E234" s="4">
        <f>VLOOKUP($A234,Questions!$A$3:$L$333,12,0)&amp;""</f>
      </c>
      <c r="F234" s="4">
        <f>VLOOKUP($A234,'Institution Evaluation'!$A$56:$K$345,3,0)&amp;""</f>
      </c>
      <c r="G234" s="4">
        <f>VLOOKUP($A234,'Institution Evaluation'!$A$56:$K$345,7,0)&amp;""</f>
      </c>
      <c r="H234" s="4">
        <f>VLOOKUP($A234,'Institution Evaluation'!$A$56:$K$345,8,0)&amp;""</f>
      </c>
      <c r="I234" s="4">
        <f>VLOOKUP($A234,'Institution Evaluation'!$A$56:$K$345,9,0)&amp;""</f>
      </c>
      <c r="J234" s="4">
        <f>VLOOKUP($A234,'Institution Evaluation'!$A$56:$K$345,10,0)&amp;""</f>
      </c>
      <c r="K234" s="4">
        <f>IF($I234='Auto Responses'!$J$11,20,IF($I234='Auto Responses'!$J$13,5,10))</f>
      </c>
      <c r="L234" s="106">
        <f>IF($E234='Auto Responses'!$L$13, 'Auto Responses'!$J$5,IF(AND($D234='Auto Responses'!$J$27,$H234=""),'Auto Responses'!$J$5,IF(AND($D234='Auto Responses'!$J$27,$H234='Auto Responses'!$J$7),1,IF(AND($D234='Auto Responses'!$J$27,$H234='Auto Responses'!$J$8),0,IF(OR(AND($F234=$G234,$H234=""),$H234='Auto Responses'!$J$7),1,0)))))</f>
      </c>
      <c r="M234" s="4">
        <f>VLOOKUP($A234,'Institution Evaluation'!$A$56:$K$345,11,0)&amp;""</f>
      </c>
      <c r="N234" s="4">
        <f>IF($J234='Auto Responses'!$J$11,1,IF(AND($J234="",$I234='Auto Responses'!$J$11),1,0))</f>
      </c>
      <c r="O234" s="106">
        <f>IF(OR($F$23='Auto Responses'!$J$4,$E234='Auto Responses'!$L$13,$F234='Auto Responses'!$J$5),'Auto Responses'!$J$5,IF($J234="",$K234,IF($J234='Auto Responses'!$J$13,5,IF($J234='Auto Responses'!$J$12,10,IF($J234='Auto Responses'!$J$11,20,0)))))</f>
      </c>
      <c r="P234" s="106">
        <f>IF(OR($O234='Auto Responses'!$J$5,$L234='Auto Responses'!$J$5),'Auto Responses'!$J$5,$O234*$L234)</f>
      </c>
      <c r="Q234" s="106">
        <f t="shared" si="21"/>
      </c>
      <c r="R234" s="106">
        <f t="shared" si="26"/>
      </c>
      <c r="S234" s="106">
        <f t="shared" si="22"/>
      </c>
      <c r="T234" s="106">
        <f t="shared" si="23"/>
      </c>
      <c r="U234" s="106">
        <f t="shared" si="27"/>
      </c>
      <c r="V234" s="106">
        <f t="shared" si="24"/>
      </c>
    </row>
    <row r="235" spans="1:22" ht="60" x14ac:dyDescent="0.2">
      <c r="A235" s="4">
        <f>Questions!$A235</f>
      </c>
      <c r="B235" s="4">
        <f t="shared" si="25"/>
      </c>
      <c r="C235" s="4">
        <f>VLOOKUP($A235,Questions!$A$3:$L$333,2,0)&amp;""</f>
      </c>
      <c r="D235" s="4">
        <f>VLOOKUP($A235,Questions!$A$3:$L$333,11,0)&amp;""</f>
      </c>
      <c r="E235" s="4">
        <f>VLOOKUP($A235,Questions!$A$3:$L$333,12,0)&amp;""</f>
      </c>
      <c r="F235" s="4">
        <f>VLOOKUP($A235,'Institution Evaluation'!$A$56:$K$345,3,0)&amp;""</f>
      </c>
      <c r="G235" s="4">
        <f>VLOOKUP($A235,'Institution Evaluation'!$A$56:$K$345,7,0)&amp;""</f>
      </c>
      <c r="H235" s="4">
        <f>VLOOKUP($A235,'Institution Evaluation'!$A$56:$K$345,8,0)&amp;""</f>
      </c>
      <c r="I235" s="4">
        <f>VLOOKUP($A235,'Institution Evaluation'!$A$56:$K$345,9,0)&amp;""</f>
      </c>
      <c r="J235" s="4">
        <f>VLOOKUP($A235,'Institution Evaluation'!$A$56:$K$345,10,0)&amp;""</f>
      </c>
      <c r="K235" s="4">
        <f>IF($I235='Auto Responses'!$J$11,20,IF($I235='Auto Responses'!$J$13,5,10))</f>
      </c>
      <c r="L235" s="106">
        <f>IF($E235='Auto Responses'!$L$13, 'Auto Responses'!$J$5,IF(AND($D235='Auto Responses'!$J$27,$H235=""),'Auto Responses'!$J$5,IF(AND($D235='Auto Responses'!$J$27,$H235='Auto Responses'!$J$7),1,IF(AND($D235='Auto Responses'!$J$27,$H235='Auto Responses'!$J$8),0,IF(OR(AND($F235=$G235,$H235=""),$H235='Auto Responses'!$J$7),1,0)))))</f>
      </c>
      <c r="M235" s="4">
        <f>VLOOKUP($A235,'Institution Evaluation'!$A$56:$K$345,11,0)&amp;""</f>
      </c>
      <c r="N235" s="4">
        <f>IF($J235='Auto Responses'!$J$11,1,IF(AND($J235="",$I235='Auto Responses'!$J$11),1,0))</f>
      </c>
      <c r="O235" s="106">
        <f>IF(OR($F$23='Auto Responses'!$J$4,$E235='Auto Responses'!$L$13,$F235='Auto Responses'!$J$5),'Auto Responses'!$J$5,IF($J235="",$K235,IF($J235='Auto Responses'!$J$13,5,IF($J235='Auto Responses'!$J$12,10,IF($J235='Auto Responses'!$J$11,20,0)))))</f>
      </c>
      <c r="P235" s="106">
        <f>IF(OR($O235='Auto Responses'!$J$5,$L235='Auto Responses'!$J$5),'Auto Responses'!$J$5,$O235*$L235)</f>
      </c>
      <c r="Q235" s="106">
        <f t="shared" si="21"/>
      </c>
      <c r="R235" s="106">
        <f t="shared" si="26"/>
      </c>
      <c r="S235" s="106">
        <f t="shared" si="22"/>
      </c>
      <c r="T235" s="106">
        <f t="shared" si="23"/>
      </c>
      <c r="U235" s="106">
        <f t="shared" si="27"/>
      </c>
      <c r="V235" s="106">
        <f t="shared" si="24"/>
      </c>
    </row>
    <row r="236" spans="1:22" ht="60" x14ac:dyDescent="0.2">
      <c r="A236" s="4">
        <f>Questions!$A236</f>
      </c>
      <c r="B236" s="4">
        <f t="shared" si="25"/>
      </c>
      <c r="C236" s="4">
        <f>VLOOKUP($A236,Questions!$A$3:$L$333,2,0)&amp;""</f>
      </c>
      <c r="D236" s="4">
        <f>VLOOKUP($A236,Questions!$A$3:$L$333,11,0)&amp;""</f>
      </c>
      <c r="E236" s="4">
        <f>VLOOKUP($A236,Questions!$A$3:$L$333,12,0)&amp;""</f>
      </c>
      <c r="F236" s="4">
        <f>VLOOKUP($A236,'Institution Evaluation'!$A$56:$K$345,3,0)&amp;""</f>
      </c>
      <c r="G236" s="4">
        <f>VLOOKUP($A236,'Institution Evaluation'!$A$56:$K$345,7,0)&amp;""</f>
      </c>
      <c r="H236" s="4">
        <f>VLOOKUP($A236,'Institution Evaluation'!$A$56:$K$345,8,0)&amp;""</f>
      </c>
      <c r="I236" s="4">
        <f>VLOOKUP($A236,'Institution Evaluation'!$A$56:$K$345,9,0)&amp;""</f>
      </c>
      <c r="J236" s="4">
        <f>VLOOKUP($A236,'Institution Evaluation'!$A$56:$K$345,10,0)&amp;""</f>
      </c>
      <c r="K236" s="4">
        <f>IF($I236='Auto Responses'!$J$11,20,IF($I236='Auto Responses'!$J$13,5,10))</f>
      </c>
      <c r="L236" s="106">
        <f>IF($E236='Auto Responses'!$L$13, 'Auto Responses'!$J$5,IF(AND($D236='Auto Responses'!$J$27,$H236=""),'Auto Responses'!$J$5,IF(AND($D236='Auto Responses'!$J$27,$H236='Auto Responses'!$J$7),1,IF(AND($D236='Auto Responses'!$J$27,$H236='Auto Responses'!$J$8),0,IF(OR(AND($F236=$G236,$H236=""),$H236='Auto Responses'!$J$7),1,0)))))</f>
      </c>
      <c r="M236" s="4">
        <f>VLOOKUP($A236,'Institution Evaluation'!$A$56:$K$345,11,0)&amp;""</f>
      </c>
      <c r="N236" s="4">
        <f>IF($J236='Auto Responses'!$J$11,1,IF(AND($J236="",$I236='Auto Responses'!$J$11),1,0))</f>
      </c>
      <c r="O236" s="106">
        <f>IF(OR($F$23='Auto Responses'!$J$4,$E236='Auto Responses'!$L$13,$F236='Auto Responses'!$J$5),'Auto Responses'!$J$5,IF($J236="",$K236,IF($J236='Auto Responses'!$J$13,5,IF($J236='Auto Responses'!$J$12,10,IF($J236='Auto Responses'!$J$11,20,0)))))</f>
      </c>
      <c r="P236" s="106">
        <f>IF(OR($O236='Auto Responses'!$J$5,$L236='Auto Responses'!$J$5),'Auto Responses'!$J$5,$O236*$L236)</f>
      </c>
      <c r="Q236" s="106">
        <f t="shared" si="21"/>
      </c>
      <c r="R236" s="106">
        <f t="shared" si="26"/>
      </c>
      <c r="S236" s="106">
        <f t="shared" si="22"/>
      </c>
      <c r="T236" s="106">
        <f t="shared" si="23"/>
      </c>
      <c r="U236" s="106">
        <f t="shared" si="27"/>
      </c>
      <c r="V236" s="106">
        <f t="shared" si="24"/>
      </c>
    </row>
    <row r="237" spans="1:22" ht="60" x14ac:dyDescent="0.2">
      <c r="A237" s="4">
        <f>Questions!$A237</f>
      </c>
      <c r="B237" s="4">
        <f t="shared" si="25"/>
      </c>
      <c r="C237" s="4">
        <f>VLOOKUP($A237,Questions!$A$3:$L$333,2,0)&amp;""</f>
      </c>
      <c r="D237" s="4">
        <f>VLOOKUP($A237,Questions!$A$3:$L$333,11,0)&amp;""</f>
      </c>
      <c r="E237" s="4">
        <f>VLOOKUP($A237,Questions!$A$3:$L$333,12,0)&amp;""</f>
      </c>
      <c r="F237" s="4">
        <f>VLOOKUP($A237,'Institution Evaluation'!$A$56:$K$345,3,0)&amp;""</f>
      </c>
      <c r="G237" s="4">
        <f>VLOOKUP($A237,'Institution Evaluation'!$A$56:$K$345,7,0)&amp;""</f>
      </c>
      <c r="H237" s="4">
        <f>VLOOKUP($A237,'Institution Evaluation'!$A$56:$K$345,8,0)&amp;""</f>
      </c>
      <c r="I237" s="4">
        <f>VLOOKUP($A237,'Institution Evaluation'!$A$56:$K$345,9,0)&amp;""</f>
      </c>
      <c r="J237" s="4">
        <f>VLOOKUP($A237,'Institution Evaluation'!$A$56:$K$345,10,0)&amp;""</f>
      </c>
      <c r="K237" s="4">
        <f>IF($I237='Auto Responses'!$J$11,20,IF($I237='Auto Responses'!$J$13,5,10))</f>
      </c>
      <c r="L237" s="106">
        <f>IF($E237='Auto Responses'!$L$13, 'Auto Responses'!$J$5,IF(AND($D237='Auto Responses'!$J$27,$H237=""),'Auto Responses'!$J$5,IF(AND($D237='Auto Responses'!$J$27,$H237='Auto Responses'!$J$7),1,IF(AND($D237='Auto Responses'!$J$27,$H237='Auto Responses'!$J$8),0,IF(OR(AND($F237=$G237,$H237=""),$H237='Auto Responses'!$J$7),1,0)))))</f>
      </c>
      <c r="M237" s="4">
        <f>VLOOKUP($A237,'Institution Evaluation'!$A$56:$K$345,11,0)&amp;""</f>
      </c>
      <c r="N237" s="4">
        <f>IF($J237='Auto Responses'!$J$11,1,IF(AND($J237="",$I237='Auto Responses'!$J$11),1,0))</f>
      </c>
      <c r="O237" s="106">
        <f>IF(OR($F$23='Auto Responses'!$J$4,$E237='Auto Responses'!$L$13,$F237='Auto Responses'!$J$5),'Auto Responses'!$J$5,IF($J237="",$K237,IF($J237='Auto Responses'!$J$13,5,IF($J237='Auto Responses'!$J$12,10,IF($J237='Auto Responses'!$J$11,20,0)))))</f>
      </c>
      <c r="P237" s="106">
        <f>IF(OR($O237='Auto Responses'!$J$5,$L237='Auto Responses'!$J$5),'Auto Responses'!$J$5,$O237*$L237)</f>
      </c>
      <c r="Q237" s="106">
        <f t="shared" ref="Q237" si="28">IF(M237="TRUE",1,0)</f>
      </c>
      <c r="R237" s="106">
        <f t="shared" si="26"/>
      </c>
      <c r="S237" s="106">
        <f t="shared" ref="S237" si="29">IF(Q237=0,0,R237)</f>
      </c>
      <c r="T237" s="106">
        <f t="shared" ref="T237" si="30">IF(N237=1,1,0)</f>
      </c>
      <c r="U237" s="106">
        <f t="shared" si="27"/>
      </c>
      <c r="V237" s="106">
        <f t="shared" ref="V237" si="31">IF(T237=0,0,U237)</f>
      </c>
    </row>
    <row r="238" spans="1:22" ht="60" x14ac:dyDescent="0.2">
      <c r="A238" s="4">
        <f>Questions!$A238</f>
      </c>
      <c r="B238" s="4">
        <f t="shared" si="25"/>
      </c>
      <c r="C238" s="4">
        <f>VLOOKUP($A238,Questions!$A$3:$L$333,2,0)&amp;""</f>
      </c>
      <c r="D238" s="4">
        <f>VLOOKUP($A238,Questions!$A$3:$L$333,11,0)&amp;""</f>
      </c>
      <c r="E238" s="4">
        <f>VLOOKUP($A238,Questions!$A$3:$L$333,12,0)&amp;""</f>
      </c>
      <c r="F238" s="4">
        <f>VLOOKUP($A238,'Privacy Analyst Evaluation'!$A$46:$K$120,3,0)&amp;""</f>
      </c>
      <c r="G238" s="4">
        <f>VLOOKUP($A238,'Privacy Analyst Evaluation'!$A$46:$K$120,7,0)&amp;""</f>
      </c>
      <c r="H238" s="4">
        <f>VLOOKUP($A238,'Privacy Analyst Evaluation'!$A$46:$K$120,8,0)&amp;""</f>
      </c>
      <c r="I238" s="4">
        <f>VLOOKUP($A238,'Privacy Analyst Evaluation'!$A$46:$K$120,9,0)&amp;""</f>
      </c>
      <c r="J238" s="4">
        <f>VLOOKUP($A238,'Privacy Analyst Evaluation'!$A$46:$K$120,10,0)&amp;""</f>
      </c>
      <c r="K238" s="4">
        <f>IF($I238='Auto Responses'!$J$11,20,IF($I238='Auto Responses'!$J$13,5,10))</f>
      </c>
      <c r="L238" s="106">
        <f>IF($E238='Auto Responses'!$L$13, 'Auto Responses'!$J$5,IF(AND($D238='Auto Responses'!$J$27,$H238=""),'Auto Responses'!$J$5,IF(AND($D238='Auto Responses'!$J$27,$H238='Auto Responses'!$J$7),1,IF(AND($D238='Auto Responses'!$J$27,$H238='Auto Responses'!$J$8),0,IF(OR(AND($F238=$G238,$H238=""),$H238='Auto Responses'!$J$7),1,0)))))</f>
      </c>
      <c r="M238" s="4">
        <f>VLOOKUP($A238,'Privacy Analyst Evaluation'!$A$46:$K$120,11,0)&amp;""</f>
      </c>
      <c r="N238" s="4">
        <f>IF($J238='Auto Responses'!$J$11,1,IF(AND($J238="",$I238='Auto Responses'!$J$11),1,0))</f>
      </c>
      <c r="O238" s="106">
        <f>IF(OR($E238='Auto Responses'!$L$13,$F$24='Auto Responses'!$J$4,$F238='Auto Responses'!$J$5),'Auto Responses'!$J$5,IF($J238="",$K238,IF($J238='Auto Responses'!$J$13,5,IF($J238='Auto Responses'!$J$12,10,IF($J238='Auto Responses'!$J$11,20,0)))))</f>
      </c>
      <c r="P238" s="106">
        <f>IF(OR($O238='Auto Responses'!$J$5,$L238='Auto Responses'!$J$5),'Auto Responses'!$J$5,$O238*$L238)</f>
      </c>
      <c r="Q238" s="106">
        <f t="shared" si="21"/>
      </c>
      <c r="R238" s="106">
        <f t="shared" si="26"/>
      </c>
      <c r="S238" s="106">
        <f t="shared" si="22"/>
      </c>
      <c r="T238" s="106">
        <f t="shared" si="23"/>
      </c>
      <c r="U238" s="106">
        <f t="shared" si="27"/>
      </c>
      <c r="V238" s="106">
        <f t="shared" si="24"/>
      </c>
    </row>
    <row r="239" spans="1:22" ht="60" x14ac:dyDescent="0.2">
      <c r="A239" s="4">
        <f>Questions!$A239</f>
      </c>
      <c r="B239" s="4">
        <f t="shared" si="25"/>
      </c>
      <c r="C239" s="4">
        <f>VLOOKUP($A239,Questions!$A$3:$L$333,2,0)&amp;""</f>
      </c>
      <c r="D239" s="4">
        <f>VLOOKUP($A239,Questions!$A$3:$L$333,11,0)&amp;""</f>
      </c>
      <c r="E239" s="4">
        <f>VLOOKUP($A239,Questions!$A$3:$L$333,12,0)&amp;""</f>
      </c>
      <c r="F239" s="4">
        <f>VLOOKUP($A239,'Privacy Analyst Evaluation'!$A$46:$K$120,3,0)&amp;""</f>
      </c>
      <c r="G239" s="4">
        <f>VLOOKUP($A239,'Privacy Analyst Evaluation'!$A$46:$K$120,7,0)&amp;""</f>
      </c>
      <c r="H239" s="4">
        <f>VLOOKUP($A239,'Privacy Analyst Evaluation'!$A$46:$K$120,8,0)&amp;""</f>
      </c>
      <c r="I239" s="4">
        <f>VLOOKUP($A239,'Privacy Analyst Evaluation'!$A$46:$K$120,9,0)&amp;""</f>
      </c>
      <c r="J239" s="4">
        <f>VLOOKUP($A239,'Privacy Analyst Evaluation'!$A$46:$K$120,10,0)&amp;""</f>
      </c>
      <c r="K239" s="4">
        <f>IF($I239='Auto Responses'!$J$11,20,IF($I239='Auto Responses'!$J$13,5,10))</f>
      </c>
      <c r="L239" s="106">
        <f>IF($E239='Auto Responses'!$L$13, 'Auto Responses'!$J$5,IF(AND($D239='Auto Responses'!$J$27,$H239=""),'Auto Responses'!$J$5,IF(AND($D239='Auto Responses'!$J$27,$H239='Auto Responses'!$J$7),1,IF(AND($D239='Auto Responses'!$J$27,$H239='Auto Responses'!$J$8),0,IF(OR(AND($F239=$G239,$H239=""),$H239='Auto Responses'!$J$7),1,0)))))</f>
      </c>
      <c r="M239" s="4">
        <f>VLOOKUP($A239,'Privacy Analyst Evaluation'!$A$46:$K$120,11,0)&amp;""</f>
      </c>
      <c r="N239" s="4">
        <f>IF($J239='Auto Responses'!$J$11,1,IF(AND($J239="",$I239='Auto Responses'!$J$11),1,0))</f>
      </c>
      <c r="O239" s="106">
        <f>IF(OR($E239='Auto Responses'!$L$13,$F$24='Auto Responses'!$J$4,$F239='Auto Responses'!$J$5),'Auto Responses'!$J$5,IF($J239="",$K239,IF($J239='Auto Responses'!$J$13,5,IF($J239='Auto Responses'!$J$12,10,IF($J239='Auto Responses'!$J$11,20,0)))))</f>
      </c>
      <c r="P239" s="106">
        <f>IF(OR($O239='Auto Responses'!$J$5,$L239='Auto Responses'!$J$5),'Auto Responses'!$J$5,$O239*$L239)</f>
      </c>
      <c r="Q239" s="106">
        <f t="shared" si="21"/>
      </c>
      <c r="R239" s="106">
        <f t="shared" si="26"/>
      </c>
      <c r="S239" s="106">
        <f t="shared" si="22"/>
      </c>
      <c r="T239" s="106">
        <f t="shared" si="23"/>
      </c>
      <c r="U239" s="106">
        <f t="shared" si="27"/>
      </c>
      <c r="V239" s="106">
        <f t="shared" si="24"/>
      </c>
    </row>
    <row r="240" spans="1:22" ht="60" x14ac:dyDescent="0.2">
      <c r="A240" s="4">
        <f>Questions!$A240</f>
      </c>
      <c r="B240" s="4">
        <f t="shared" si="25"/>
      </c>
      <c r="C240" s="4">
        <f>VLOOKUP($A240,Questions!$A$3:$L$333,2,0)&amp;""</f>
      </c>
      <c r="D240" s="4">
        <f>VLOOKUP($A240,Questions!$A$3:$L$333,11,0)&amp;""</f>
      </c>
      <c r="E240" s="4">
        <f>VLOOKUP($A240,Questions!$A$3:$L$333,12,0)&amp;""</f>
      </c>
      <c r="F240" s="4">
        <f>VLOOKUP($A240,'Privacy Analyst Evaluation'!$A$46:$K$120,3,0)&amp;""</f>
      </c>
      <c r="G240" s="4">
        <f>VLOOKUP($A240,'Privacy Analyst Evaluation'!$A$46:$K$120,7,0)&amp;""</f>
      </c>
      <c r="H240" s="4">
        <f>VLOOKUP($A240,'Privacy Analyst Evaluation'!$A$46:$K$120,8,0)&amp;""</f>
      </c>
      <c r="I240" s="4">
        <f>VLOOKUP($A240,'Privacy Analyst Evaluation'!$A$46:$K$120,9,0)&amp;""</f>
      </c>
      <c r="J240" s="4">
        <f>VLOOKUP($A240,'Privacy Analyst Evaluation'!$A$46:$K$120,10,0)&amp;""</f>
      </c>
      <c r="K240" s="4">
        <f>IF($I240='Auto Responses'!$J$11,20,IF($I240='Auto Responses'!$J$13,5,10))</f>
      </c>
      <c r="L240" s="106">
        <f>IF($E240='Auto Responses'!$L$13, 'Auto Responses'!$J$5,IF(AND($D240='Auto Responses'!$J$27,$H240=""),'Auto Responses'!$J$5,IF(AND($D240='Auto Responses'!$J$27,$H240='Auto Responses'!$J$7),1,IF(AND($D240='Auto Responses'!$J$27,$H240='Auto Responses'!$J$8),0,IF(OR(AND($F240=$G240,$H240=""),$H240='Auto Responses'!$J$7),1,0)))))</f>
      </c>
      <c r="M240" s="4">
        <f>VLOOKUP($A240,'Privacy Analyst Evaluation'!$A$46:$K$120,11,0)&amp;""</f>
      </c>
      <c r="N240" s="4">
        <f>IF($J240='Auto Responses'!$J$11,1,IF(AND($J240="",$I240='Auto Responses'!$J$11),1,0))</f>
      </c>
      <c r="O240" s="106">
        <f>IF(OR($E240='Auto Responses'!$L$13,$F$24='Auto Responses'!$J$4,$F240='Auto Responses'!$J$5),'Auto Responses'!$J$5,IF($J240="",$K240,IF($J240='Auto Responses'!$J$13,5,IF($J240='Auto Responses'!$J$12,10,IF($J240='Auto Responses'!$J$11,20,0)))))</f>
      </c>
      <c r="P240" s="106">
        <f>IF(OR($O240='Auto Responses'!$J$5,$L240='Auto Responses'!$J$5),'Auto Responses'!$J$5,$O240*$L240)</f>
      </c>
      <c r="Q240" s="106">
        <f t="shared" si="21"/>
      </c>
      <c r="R240" s="106">
        <f t="shared" si="26"/>
      </c>
      <c r="S240" s="106">
        <f t="shared" si="22"/>
      </c>
      <c r="T240" s="106">
        <f t="shared" si="23"/>
      </c>
      <c r="U240" s="106">
        <f t="shared" si="27"/>
      </c>
      <c r="V240" s="106">
        <f t="shared" si="24"/>
      </c>
    </row>
    <row r="241" spans="1:22" ht="60" x14ac:dyDescent="0.2">
      <c r="A241" s="4">
        <f>Questions!$A241</f>
      </c>
      <c r="B241" s="4">
        <f t="shared" si="25"/>
      </c>
      <c r="C241" s="4">
        <f>VLOOKUP($A241,Questions!$A$3:$L$333,2,0)&amp;""</f>
      </c>
      <c r="D241" s="4">
        <f>VLOOKUP($A241,Questions!$A$3:$L$333,11,0)&amp;""</f>
      </c>
      <c r="E241" s="4">
        <f>VLOOKUP($A241,Questions!$A$3:$L$333,12,0)&amp;""</f>
      </c>
      <c r="F241" s="4">
        <f>VLOOKUP($A241,'Privacy Analyst Evaluation'!$A$46:$K$120,3,0)&amp;""</f>
      </c>
      <c r="G241" s="4">
        <f>VLOOKUP($A241,'Privacy Analyst Evaluation'!$A$46:$K$120,7,0)&amp;""</f>
      </c>
      <c r="H241" s="4">
        <f>VLOOKUP($A241,'Privacy Analyst Evaluation'!$A$46:$K$120,8,0)&amp;""</f>
      </c>
      <c r="I241" s="4">
        <f>VLOOKUP($A241,'Privacy Analyst Evaluation'!$A$46:$K$120,9,0)&amp;""</f>
      </c>
      <c r="J241" s="4">
        <f>VLOOKUP($A241,'Privacy Analyst Evaluation'!$A$46:$K$120,10,0)&amp;""</f>
      </c>
      <c r="K241" s="4">
        <f>IF($I241='Auto Responses'!$J$11,20,IF($I241='Auto Responses'!$J$13,5,10))</f>
      </c>
      <c r="L241" s="106">
        <f>IF($E241='Auto Responses'!$L$13, 'Auto Responses'!$J$5,IF(AND($D241='Auto Responses'!$J$27,$H241=""),'Auto Responses'!$J$5,IF(AND($D241='Auto Responses'!$J$27,$H241='Auto Responses'!$J$7),1,IF(AND($D241='Auto Responses'!$J$27,$H241='Auto Responses'!$J$8),0,IF(OR(AND($F241=$G241,$H241=""),$H241='Auto Responses'!$J$7),1,0)))))</f>
      </c>
      <c r="M241" s="4">
        <f>VLOOKUP($A241,'Privacy Analyst Evaluation'!$A$46:$K$120,11,0)&amp;""</f>
      </c>
      <c r="N241" s="4">
        <f>IF($J241='Auto Responses'!$J$11,1,IF(AND($J241="",$I241='Auto Responses'!$J$11),1,0))</f>
      </c>
      <c r="O241" s="106">
        <f>IF(OR($E241='Auto Responses'!$L$13,$F$24='Auto Responses'!$J$4,$F241='Auto Responses'!$J$5),'Auto Responses'!$J$5,IF($J241="",$K241,IF($J241='Auto Responses'!$J$13,5,IF($J241='Auto Responses'!$J$12,10,IF($J241='Auto Responses'!$J$11,20,0)))))</f>
      </c>
      <c r="P241" s="106">
        <f>IF(OR($O241='Auto Responses'!$J$5,$L241='Auto Responses'!$J$5),'Auto Responses'!$J$5,$O241*$L241)</f>
      </c>
      <c r="Q241" s="106">
        <f t="shared" si="21"/>
      </c>
      <c r="R241" s="106">
        <f t="shared" si="26"/>
      </c>
      <c r="S241" s="106">
        <f t="shared" si="22"/>
      </c>
      <c r="T241" s="106">
        <f t="shared" si="23"/>
      </c>
      <c r="U241" s="106">
        <f t="shared" si="27"/>
      </c>
      <c r="V241" s="106">
        <f t="shared" si="24"/>
      </c>
    </row>
    <row r="242" spans="1:22" ht="60" x14ac:dyDescent="0.2">
      <c r="A242" s="4">
        <f>Questions!$A242</f>
      </c>
      <c r="B242" s="4">
        <f t="shared" si="25"/>
      </c>
      <c r="C242" s="4">
        <f>VLOOKUP($A242,Questions!$A$3:$L$333,2,0)&amp;""</f>
      </c>
      <c r="D242" s="4">
        <f>VLOOKUP($A242,Questions!$A$3:$L$333,11,0)&amp;""</f>
      </c>
      <c r="E242" s="4">
        <f>VLOOKUP($A242,Questions!$A$3:$L$333,12,0)&amp;""</f>
      </c>
      <c r="F242" s="4">
        <f>VLOOKUP($A242,'Privacy Analyst Evaluation'!$A$46:$K$120,3,0)&amp;""</f>
      </c>
      <c r="G242" s="4">
        <f>VLOOKUP($A242,'Privacy Analyst Evaluation'!$A$46:$K$120,7,0)&amp;""</f>
      </c>
      <c r="H242" s="4">
        <f>VLOOKUP($A242,'Privacy Analyst Evaluation'!$A$46:$K$120,8,0)&amp;""</f>
      </c>
      <c r="I242" s="4">
        <f>VLOOKUP($A242,'Privacy Analyst Evaluation'!$A$46:$K$120,9,0)&amp;""</f>
      </c>
      <c r="J242" s="4">
        <f>VLOOKUP($A242,'Privacy Analyst Evaluation'!$A$46:$K$120,10,0)&amp;""</f>
      </c>
      <c r="K242" s="4">
        <f>IF($I242='Auto Responses'!$J$11,20,IF($I242='Auto Responses'!$J$13,5,10))</f>
      </c>
      <c r="L242" s="106">
        <f>IF($E242='Auto Responses'!$L$13, 'Auto Responses'!$J$5,IF(AND($D242='Auto Responses'!$J$27,$H242=""),'Auto Responses'!$J$5,IF(AND($D242='Auto Responses'!$J$27,$H242='Auto Responses'!$J$7),1,IF(AND($D242='Auto Responses'!$J$27,$H242='Auto Responses'!$J$8),0,IF(OR(AND($F242=$G242,$H242=""),$H242='Auto Responses'!$J$7),1,0)))))</f>
      </c>
      <c r="M242" s="4">
        <f>VLOOKUP($A242,'Privacy Analyst Evaluation'!$A$46:$K$120,11,0)&amp;""</f>
      </c>
      <c r="N242" s="4">
        <f>IF($J242='Auto Responses'!$J$11,1,IF(AND($J242="",$I242='Auto Responses'!$J$11),1,0))</f>
      </c>
      <c r="O242" s="106">
        <f>IF(OR($E242='Auto Responses'!$L$13,$F$24='Auto Responses'!$J$4,$F242='Auto Responses'!$J$5),'Auto Responses'!$J$5,IF($J242="",$K242,IF($J242='Auto Responses'!$J$13,5,IF($J242='Auto Responses'!$J$12,10,IF($J242='Auto Responses'!$J$11,20,0)))))</f>
      </c>
      <c r="P242" s="106">
        <f>IF(OR($O242='Auto Responses'!$J$5,$L242='Auto Responses'!$J$5),'Auto Responses'!$J$5,$O242*$L242)</f>
      </c>
      <c r="Q242" s="106">
        <f t="shared" si="21"/>
      </c>
      <c r="R242" s="106">
        <f t="shared" si="26"/>
      </c>
      <c r="S242" s="106">
        <f t="shared" si="22"/>
      </c>
      <c r="T242" s="106">
        <f t="shared" si="23"/>
      </c>
      <c r="U242" s="106">
        <f t="shared" si="27"/>
      </c>
      <c r="V242" s="106">
        <f t="shared" si="24"/>
      </c>
    </row>
    <row r="243" spans="1:22" ht="60" x14ac:dyDescent="0.2">
      <c r="A243" s="4">
        <f>Questions!$A243</f>
      </c>
      <c r="B243" s="4">
        <f t="shared" si="25"/>
      </c>
      <c r="C243" s="4">
        <f>VLOOKUP($A243,Questions!$A$3:$L$333,2,0)&amp;""</f>
      </c>
      <c r="D243" s="4">
        <f>VLOOKUP($A243,Questions!$A$3:$L$333,11,0)&amp;""</f>
      </c>
      <c r="E243" s="4">
        <f>VLOOKUP($A243,Questions!$A$3:$L$333,12,0)&amp;""</f>
      </c>
      <c r="F243" s="4">
        <f>VLOOKUP($A243,'Privacy Analyst Evaluation'!$A$46:$K$120,3,0)&amp;""</f>
      </c>
      <c r="G243" s="4">
        <f>VLOOKUP($A243,'Privacy Analyst Evaluation'!$A$46:$K$120,7,0)&amp;""</f>
      </c>
      <c r="H243" s="4">
        <f>VLOOKUP($A243,'Privacy Analyst Evaluation'!$A$46:$K$120,8,0)&amp;""</f>
      </c>
      <c r="I243" s="4">
        <f>VLOOKUP($A243,'Privacy Analyst Evaluation'!$A$46:$K$120,9,0)&amp;""</f>
      </c>
      <c r="J243" s="4">
        <f>VLOOKUP($A243,'Privacy Analyst Evaluation'!$A$46:$K$120,10,0)&amp;""</f>
      </c>
      <c r="K243" s="4">
        <f>IF($I243='Auto Responses'!$J$11,20,IF($I243='Auto Responses'!$J$13,5,10))</f>
      </c>
      <c r="L243" s="106">
        <f>IF($E243='Auto Responses'!$L$13, 'Auto Responses'!$J$5,IF(AND($D243='Auto Responses'!$J$27,$H243=""),'Auto Responses'!$J$5,IF(AND($D243='Auto Responses'!$J$27,$H243='Auto Responses'!$J$7),1,IF(AND($D243='Auto Responses'!$J$27,$H243='Auto Responses'!$J$8),0,IF(OR(AND($F243=$G243,$H243=""),$H243='Auto Responses'!$J$7),1,0)))))</f>
      </c>
      <c r="M243" s="4">
        <f>VLOOKUP($A243,'Privacy Analyst Evaluation'!$A$46:$K$120,11,0)&amp;""</f>
      </c>
      <c r="N243" s="4">
        <f>IF($J243='Auto Responses'!$J$11,1,IF(AND($J243="",$I243='Auto Responses'!$J$11),1,0))</f>
      </c>
      <c r="O243" s="106">
        <f>IF(OR($E243='Auto Responses'!$L$13,$F$24='Auto Responses'!$J$4,$F243='Auto Responses'!$J$5),'Auto Responses'!$J$5,IF($J243="",$K243,IF($J243='Auto Responses'!$J$13,5,IF($J243='Auto Responses'!$J$12,10,IF($J243='Auto Responses'!$J$11,20,0)))))</f>
      </c>
      <c r="P243" s="106">
        <f>IF(OR($O243='Auto Responses'!$J$5,$L243='Auto Responses'!$J$5),'Auto Responses'!$J$5,$O243*$L243)</f>
      </c>
      <c r="Q243" s="106">
        <f t="shared" si="21"/>
      </c>
      <c r="R243" s="106">
        <f t="shared" si="26"/>
      </c>
      <c r="S243" s="106">
        <f t="shared" si="22"/>
      </c>
      <c r="T243" s="106">
        <f t="shared" si="23"/>
      </c>
      <c r="U243" s="106">
        <f t="shared" si="27"/>
      </c>
      <c r="V243" s="106">
        <f t="shared" si="24"/>
      </c>
    </row>
    <row r="244" spans="1:22" ht="300" x14ac:dyDescent="0.2">
      <c r="A244" s="4">
        <f>Questions!$A244</f>
      </c>
      <c r="B244" s="4">
        <f t="shared" si="25"/>
      </c>
      <c r="C244" s="4">
        <f>VLOOKUP($A244,Questions!$A$3:$L$333,2,0)&amp;""</f>
      </c>
      <c r="D244" s="4">
        <f>VLOOKUP($A244,Questions!$A$3:$L$333,11,0)&amp;""</f>
      </c>
      <c r="E244" s="4">
        <f>VLOOKUP($A244,Questions!$A$3:$L$333,12,0)&amp;""</f>
      </c>
      <c r="F244" s="4">
        <f>VLOOKUP($A244,'Privacy Analyst Evaluation'!$A$46:$K$120,3,0)&amp;""</f>
      </c>
      <c r="G244" s="4">
        <f>VLOOKUP($A244,'Privacy Analyst Evaluation'!$A$46:$K$120,7,0)&amp;""</f>
      </c>
      <c r="H244" s="4">
        <f>VLOOKUP($A244,'Privacy Analyst Evaluation'!$A$46:$K$120,8,0)&amp;""</f>
      </c>
      <c r="I244" s="4">
        <f>VLOOKUP($A244,'Privacy Analyst Evaluation'!$A$46:$K$120,9,0)&amp;""</f>
      </c>
      <c r="J244" s="4">
        <f>VLOOKUP($A244,'Privacy Analyst Evaluation'!$A$46:$K$120,10,0)&amp;""</f>
      </c>
      <c r="K244" s="4">
        <f>IF($I244='Auto Responses'!$J$11,20,IF($I244='Auto Responses'!$J$13,5,10))</f>
      </c>
      <c r="L244" s="106">
        <f>IF($E244='Auto Responses'!$L$13, 'Auto Responses'!$J$5,IF(AND($D244='Auto Responses'!$J$27,$H244=""),'Auto Responses'!$J$5,IF(AND($D244='Auto Responses'!$J$27,$H244='Auto Responses'!$J$7),1,IF(AND($D244='Auto Responses'!$J$27,$H244='Auto Responses'!$J$8),0,IF(OR(AND($F244=$G244,$H244=""),$H244='Auto Responses'!$J$7),1,0)))))</f>
      </c>
      <c r="M244" s="4">
        <f>VLOOKUP($A244,'Privacy Analyst Evaluation'!$A$46:$K$120,11,0)&amp;""</f>
      </c>
      <c r="N244" s="4">
        <f>IF($J244='Auto Responses'!$J$11,1,IF(AND($J244="",$I244='Auto Responses'!$J$11),1,0))</f>
      </c>
      <c r="O244" s="106">
        <f>IF(OR($E244='Auto Responses'!$L$13,$F$24='Auto Responses'!$J$4,$F244='Auto Responses'!$J$5),'Auto Responses'!$J$5,IF($J244="",$K244,IF($J244='Auto Responses'!$J$13,5,IF($J244='Auto Responses'!$J$12,10,IF($J244='Auto Responses'!$J$11,20,0)))))</f>
      </c>
      <c r="P244" s="106">
        <f>IF(OR($O244='Auto Responses'!$J$5,$L244='Auto Responses'!$J$5),'Auto Responses'!$J$5,$O244*$L244)</f>
      </c>
      <c r="Q244" s="106">
        <f t="shared" si="21"/>
      </c>
      <c r="R244" s="106">
        <f t="shared" si="26"/>
      </c>
      <c r="S244" s="106">
        <f t="shared" si="22"/>
      </c>
      <c r="T244" s="106">
        <f t="shared" si="23"/>
      </c>
      <c r="U244" s="106">
        <f t="shared" si="27"/>
      </c>
      <c r="V244" s="106">
        <f t="shared" si="24"/>
      </c>
    </row>
    <row r="245" spans="1:22" ht="60" x14ac:dyDescent="0.2">
      <c r="A245" s="4">
        <f>Questions!$A245</f>
      </c>
      <c r="B245" s="4">
        <f t="shared" si="25"/>
      </c>
      <c r="C245" s="4">
        <f>VLOOKUP($A245,Questions!$A$3:$L$333,2,0)&amp;""</f>
      </c>
      <c r="D245" s="4">
        <f>VLOOKUP($A245,Questions!$A$3:$L$333,11,0)&amp;""</f>
      </c>
      <c r="E245" s="4">
        <f>VLOOKUP($A245,Questions!$A$3:$L$333,12,0)&amp;""</f>
      </c>
      <c r="F245" s="4">
        <f>VLOOKUP($A245,'Privacy Analyst Evaluation'!$A$46:$K$120,3,0)&amp;""</f>
      </c>
      <c r="G245" s="4">
        <f>VLOOKUP($A245,'Privacy Analyst Evaluation'!$A$46:$K$120,7,0)&amp;""</f>
      </c>
      <c r="H245" s="4">
        <f>VLOOKUP($A245,'Privacy Analyst Evaluation'!$A$46:$K$120,8,0)&amp;""</f>
      </c>
      <c r="I245" s="4">
        <f>VLOOKUP($A245,'Privacy Analyst Evaluation'!$A$46:$K$120,9,0)&amp;""</f>
      </c>
      <c r="J245" s="4">
        <f>VLOOKUP($A245,'Privacy Analyst Evaluation'!$A$46:$K$120,10,0)&amp;""</f>
      </c>
      <c r="K245" s="4">
        <f>IF($I245='Auto Responses'!$J$11,20,IF($I245='Auto Responses'!$J$13,5,10))</f>
      </c>
      <c r="L245" s="106">
        <f>IF($E245='Auto Responses'!$L$13, 'Auto Responses'!$J$5,IF(AND($D245='Auto Responses'!$J$27,$H245=""),'Auto Responses'!$J$5,IF(AND($D245='Auto Responses'!$J$27,$H245='Auto Responses'!$J$7),1,IF(AND($D245='Auto Responses'!$J$27,$H245='Auto Responses'!$J$8),0,IF(OR(AND($F245=$G245,$H245=""),$H245='Auto Responses'!$J$7),1,0)))))</f>
      </c>
      <c r="M245" s="4">
        <f>VLOOKUP($A245,'Privacy Analyst Evaluation'!$A$46:$K$120,11,0)&amp;""</f>
      </c>
      <c r="N245" s="4">
        <f>IF($J245='Auto Responses'!$J$11,1,IF(AND($J245="",$I245='Auto Responses'!$J$11),1,0))</f>
      </c>
      <c r="O245" s="106">
        <f>IF(OR($E245='Auto Responses'!$L$13,$F$24='Auto Responses'!$J$4,$F245='Auto Responses'!$J$5),'Auto Responses'!$J$5,IF($J245="",$K245,IF($J245='Auto Responses'!$J$13,5,IF($J245='Auto Responses'!$J$12,10,IF($J245='Auto Responses'!$J$11,20,0)))))</f>
      </c>
      <c r="P245" s="106">
        <f>IF(OR($O245='Auto Responses'!$J$5,$L245='Auto Responses'!$J$5),'Auto Responses'!$J$5,$O245*$L245)</f>
      </c>
      <c r="Q245" s="106">
        <f t="shared" si="21"/>
      </c>
      <c r="R245" s="106">
        <f t="shared" si="26"/>
      </c>
      <c r="S245" s="106">
        <f t="shared" si="22"/>
      </c>
      <c r="T245" s="106">
        <f t="shared" si="23"/>
      </c>
      <c r="U245" s="106">
        <f t="shared" si="27"/>
      </c>
      <c r="V245" s="106">
        <f t="shared" si="24"/>
      </c>
    </row>
    <row r="246" spans="1:22" ht="60" x14ac:dyDescent="0.2">
      <c r="A246" s="4">
        <f>Questions!$A246</f>
      </c>
      <c r="B246" s="4">
        <f t="shared" si="25"/>
      </c>
      <c r="C246" s="4">
        <f>VLOOKUP($A246,Questions!$A$3:$L$333,2,0)&amp;""</f>
      </c>
      <c r="D246" s="4">
        <f>VLOOKUP($A246,Questions!$A$3:$L$333,11,0)&amp;""</f>
      </c>
      <c r="E246" s="4">
        <f>VLOOKUP($A246,Questions!$A$3:$L$333,12,0)&amp;""</f>
      </c>
      <c r="F246" s="4">
        <f>VLOOKUP($A246,'Privacy Analyst Evaluation'!$A$46:$K$120,3,0)&amp;""</f>
      </c>
      <c r="G246" s="4">
        <f>VLOOKUP($A246,'Privacy Analyst Evaluation'!$A$46:$K$120,7,0)&amp;""</f>
      </c>
      <c r="H246" s="4">
        <f>VLOOKUP($A246,'Privacy Analyst Evaluation'!$A$46:$K$120,8,0)&amp;""</f>
      </c>
      <c r="I246" s="4">
        <f>VLOOKUP($A246,'Privacy Analyst Evaluation'!$A$46:$K$120,9,0)&amp;""</f>
      </c>
      <c r="J246" s="4">
        <f>VLOOKUP($A246,'Privacy Analyst Evaluation'!$A$46:$K$120,10,0)&amp;""</f>
      </c>
      <c r="K246" s="4">
        <f>IF($I246='Auto Responses'!$J$11,20,IF($I246='Auto Responses'!$J$13,5,10))</f>
      </c>
      <c r="L246" s="106">
        <f>IF($E246='Auto Responses'!$L$13, 'Auto Responses'!$J$5,IF(AND($D246='Auto Responses'!$J$27,$H246=""),'Auto Responses'!$J$5,IF(AND($D246='Auto Responses'!$J$27,$H246='Auto Responses'!$J$7),1,IF(AND($D246='Auto Responses'!$J$27,$H246='Auto Responses'!$J$8),0,IF(OR(AND($F246=$G246,$H246=""),$H246='Auto Responses'!$J$7),1,0)))))</f>
      </c>
      <c r="M246" s="4">
        <f>VLOOKUP($A246,'Privacy Analyst Evaluation'!$A$46:$K$120,11,0)&amp;""</f>
      </c>
      <c r="N246" s="4">
        <f>IF($J246='Auto Responses'!$J$11,1,IF(AND($J246="",$I246='Auto Responses'!$J$11),1,0))</f>
      </c>
      <c r="O246" s="106">
        <f>IF(OR($E246='Auto Responses'!$L$13,$F$24='Auto Responses'!$J$4,$F246='Auto Responses'!$J$5),'Auto Responses'!$J$5,IF($J246="",$K246,IF($J246='Auto Responses'!$J$13,5,IF($J246='Auto Responses'!$J$12,10,IF($J246='Auto Responses'!$J$11,20,0)))))</f>
      </c>
      <c r="P246" s="106">
        <f>IF(OR($O246='Auto Responses'!$J$5,$L246='Auto Responses'!$J$5),'Auto Responses'!$J$5,$O246*$L246)</f>
      </c>
      <c r="Q246" s="106">
        <f t="shared" si="21"/>
      </c>
      <c r="R246" s="106">
        <f t="shared" si="26"/>
      </c>
      <c r="S246" s="106">
        <f t="shared" si="22"/>
      </c>
      <c r="T246" s="106">
        <f t="shared" si="23"/>
      </c>
      <c r="U246" s="106">
        <f t="shared" si="27"/>
      </c>
      <c r="V246" s="106">
        <f t="shared" si="24"/>
      </c>
    </row>
    <row r="247" spans="1:22" ht="60" x14ac:dyDescent="0.2">
      <c r="A247" s="4">
        <f>Questions!$A247</f>
      </c>
      <c r="B247" s="4">
        <f t="shared" si="25"/>
      </c>
      <c r="C247" s="4">
        <f>VLOOKUP($A247,Questions!$A$3:$L$333,2,0)&amp;""</f>
      </c>
      <c r="D247" s="4">
        <f>VLOOKUP($A247,Questions!$A$3:$L$333,11,0)&amp;""</f>
      </c>
      <c r="E247" s="4">
        <f>VLOOKUP($A247,Questions!$A$3:$L$333,12,0)&amp;""</f>
      </c>
      <c r="F247" s="4">
        <f>VLOOKUP($A247,'Privacy Analyst Evaluation'!$A$46:$K$120,3,0)&amp;""</f>
      </c>
      <c r="G247" s="4">
        <f>VLOOKUP($A247,'Privacy Analyst Evaluation'!$A$46:$K$120,7,0)&amp;""</f>
      </c>
      <c r="H247" s="4">
        <f>VLOOKUP($A247,'Privacy Analyst Evaluation'!$A$46:$K$120,8,0)&amp;""</f>
      </c>
      <c r="I247" s="4">
        <f>VLOOKUP($A247,'Privacy Analyst Evaluation'!$A$46:$K$120,9,0)&amp;""</f>
      </c>
      <c r="J247" s="4">
        <f>VLOOKUP($A247,'Privacy Analyst Evaluation'!$A$46:$K$120,10,0)&amp;""</f>
      </c>
      <c r="K247" s="4">
        <f>IF($I247='Auto Responses'!$J$11,20,IF($I247='Auto Responses'!$J$13,5,10))</f>
      </c>
      <c r="L247" s="106">
        <f>IF($E247='Auto Responses'!$L$13, 'Auto Responses'!$J$5,IF(AND($D247='Auto Responses'!$J$27,$H247=""),'Auto Responses'!$J$5,IF(AND($D247='Auto Responses'!$J$27,$H247='Auto Responses'!$J$7),1,IF(AND($D247='Auto Responses'!$J$27,$H247='Auto Responses'!$J$8),0,IF(OR(AND($F247=$G247,$H247=""),$H247='Auto Responses'!$J$7),1,0)))))</f>
      </c>
      <c r="M247" s="4">
        <f>VLOOKUP($A247,'Privacy Analyst Evaluation'!$A$46:$K$120,11,0)&amp;""</f>
      </c>
      <c r="N247" s="4">
        <f>IF($J247='Auto Responses'!$J$11,1,IF(AND($J247="",$I247='Auto Responses'!$J$11),1,0))</f>
      </c>
      <c r="O247" s="106">
        <f>IF(OR($E247='Auto Responses'!$L$13,$F247='Auto Responses'!$J$5,$F$24='Auto Responses'!$J$4),'Auto Responses'!$J$5,IF($J247="",$K247,IF($J247='Auto Responses'!$J$13,5,IF($J247='Auto Responses'!$J$12,10,IF($J247='Auto Responses'!$J$11,20,0)))))</f>
      </c>
      <c r="P247" s="106">
        <f>IF(OR($O247='Auto Responses'!$J$5,$L247='Auto Responses'!$J$5),'Auto Responses'!$J$5,$O247*$L247)</f>
      </c>
      <c r="Q247" s="106">
        <f t="shared" si="21"/>
      </c>
      <c r="R247" s="106">
        <f t="shared" si="26"/>
      </c>
      <c r="S247" s="106">
        <f t="shared" si="22"/>
      </c>
      <c r="T247" s="106">
        <f t="shared" si="23"/>
      </c>
      <c r="U247" s="106">
        <f t="shared" si="27"/>
      </c>
      <c r="V247" s="106">
        <f t="shared" si="24"/>
      </c>
    </row>
    <row r="248" spans="1:22" ht="60" x14ac:dyDescent="0.2">
      <c r="A248" s="4">
        <f>Questions!$A248</f>
      </c>
      <c r="B248" s="4">
        <f t="shared" si="25"/>
      </c>
      <c r="C248" s="4">
        <f>VLOOKUP($A248,Questions!$A$3:$L$333,2,0)&amp;""</f>
      </c>
      <c r="D248" s="4">
        <f>VLOOKUP($A248,Questions!$A$3:$L$333,11,0)&amp;""</f>
      </c>
      <c r="E248" s="4">
        <f>VLOOKUP($A248,Questions!$A$3:$L$333,12,0)&amp;""</f>
      </c>
      <c r="F248" s="4">
        <f>VLOOKUP($A248,'Privacy Analyst Evaluation'!$A$46:$K$120,3,0)&amp;""</f>
      </c>
      <c r="G248" s="4">
        <f>VLOOKUP($A248,'Privacy Analyst Evaluation'!$A$46:$K$120,7,0)&amp;""</f>
      </c>
      <c r="H248" s="4">
        <f>VLOOKUP($A248,'Privacy Analyst Evaluation'!$A$46:$K$120,8,0)&amp;""</f>
      </c>
      <c r="I248" s="4">
        <f>VLOOKUP($A248,'Privacy Analyst Evaluation'!$A$46:$K$120,9,0)&amp;""</f>
      </c>
      <c r="J248" s="4">
        <f>VLOOKUP($A248,'Privacy Analyst Evaluation'!$A$46:$K$120,10,0)&amp;""</f>
      </c>
      <c r="K248" s="4">
        <f>IF($I248='Auto Responses'!$J$11,20,IF($I248='Auto Responses'!$J$13,5,10))</f>
      </c>
      <c r="L248" s="106">
        <f>IF($E248='Auto Responses'!$L$13, 'Auto Responses'!$J$5,IF(AND($D248='Auto Responses'!$J$27,$H248=""),'Auto Responses'!$J$5,IF(AND($D248='Auto Responses'!$J$27,$H248='Auto Responses'!$J$7),1,IF(AND($D248='Auto Responses'!$J$27,$H248='Auto Responses'!$J$8),0,IF(OR(AND($F248=$G248,$H248=""),$H248='Auto Responses'!$J$7),1,0)))))</f>
      </c>
      <c r="M248" s="4">
        <f>VLOOKUP($A248,'Privacy Analyst Evaluation'!$A$46:$K$120,11,0)&amp;""</f>
      </c>
      <c r="N248" s="4">
        <f>IF($J248='Auto Responses'!$J$11,1,IF(AND($J248="",$I248='Auto Responses'!$J$11),1,0))</f>
      </c>
      <c r="O248" s="106">
        <f>IF(OR($E248='Auto Responses'!$L$13,$F248='Auto Responses'!$J$5,$F$24='Auto Responses'!$J$4),'Auto Responses'!$J$5,IF($J248="",$K248,IF($J248='Auto Responses'!$J$13,5,IF($J248='Auto Responses'!$J$12,10,IF($J248='Auto Responses'!$J$11,20,0)))))</f>
      </c>
      <c r="P248" s="106">
        <f>IF(OR($O248='Auto Responses'!$J$5,$L248='Auto Responses'!$J$5),'Auto Responses'!$J$5,$O248*$L248)</f>
      </c>
      <c r="Q248" s="106">
        <f t="shared" si="21"/>
      </c>
      <c r="R248" s="106">
        <f t="shared" si="26"/>
      </c>
      <c r="S248" s="106">
        <f t="shared" si="22"/>
      </c>
      <c r="T248" s="106">
        <f t="shared" si="23"/>
      </c>
      <c r="U248" s="106">
        <f t="shared" si="27"/>
      </c>
      <c r="V248" s="106">
        <f t="shared" si="24"/>
      </c>
    </row>
    <row r="249" spans="1:22" ht="60" x14ac:dyDescent="0.2">
      <c r="A249" s="4">
        <f>Questions!$A249</f>
      </c>
      <c r="B249" s="4">
        <f t="shared" si="25"/>
      </c>
      <c r="C249" s="4">
        <f>VLOOKUP($A249,Questions!$A$3:$L$333,2,0)&amp;""</f>
      </c>
      <c r="D249" s="4">
        <f>VLOOKUP($A249,Questions!$A$3:$L$333,11,0)&amp;""</f>
      </c>
      <c r="E249" s="4">
        <f>VLOOKUP($A249,Questions!$A$3:$L$333,12,0)&amp;""</f>
      </c>
      <c r="F249" s="4">
        <f>VLOOKUP($A249,'Privacy Analyst Evaluation'!$A$46:$K$120,3,0)&amp;""</f>
      </c>
      <c r="G249" s="4">
        <f>VLOOKUP($A249,'Privacy Analyst Evaluation'!$A$46:$K$120,7,0)&amp;""</f>
      </c>
      <c r="H249" s="4">
        <f>VLOOKUP($A249,'Privacy Analyst Evaluation'!$A$46:$K$120,8,0)&amp;""</f>
      </c>
      <c r="I249" s="4">
        <f>VLOOKUP($A249,'Privacy Analyst Evaluation'!$A$46:$K$120,9,0)&amp;""</f>
      </c>
      <c r="J249" s="4">
        <f>VLOOKUP($A249,'Privacy Analyst Evaluation'!$A$46:$K$120,10,0)&amp;""</f>
      </c>
      <c r="K249" s="4">
        <f>IF($I249='Auto Responses'!$J$11,20,IF($I249='Auto Responses'!$J$13,5,10))</f>
      </c>
      <c r="L249" s="106">
        <f>IF($E249='Auto Responses'!$L$13, 'Auto Responses'!$J$5,IF(AND($D249='Auto Responses'!$J$27,$H249=""),'Auto Responses'!$J$5,IF(AND($D249='Auto Responses'!$J$27,$H249='Auto Responses'!$J$7),1,IF(AND($D249='Auto Responses'!$J$27,$H249='Auto Responses'!$J$8),0,IF(OR(AND($F249=$G249,$H249=""),$H249='Auto Responses'!$J$7),1,0)))))</f>
      </c>
      <c r="M249" s="4">
        <f>VLOOKUP($A249,'Privacy Analyst Evaluation'!$A$46:$K$120,11,0)&amp;""</f>
      </c>
      <c r="N249" s="4">
        <f>IF($J249='Auto Responses'!$J$11,1,IF(AND($J249="",$I249='Auto Responses'!$J$11),1,0))</f>
      </c>
      <c r="O249" s="106">
        <f>IF(OR($E249='Auto Responses'!$L$13,$F249='Auto Responses'!$J$5,$F$24='Auto Responses'!$J$4),'Auto Responses'!$J$5,IF($J249="",$K249,IF($J249='Auto Responses'!$J$13,5,IF($J249='Auto Responses'!$J$12,10,IF($J249='Auto Responses'!$J$11,20,0)))))</f>
      </c>
      <c r="P249" s="106">
        <f>IF(OR($O249='Auto Responses'!$J$5,$L249='Auto Responses'!$J$5),'Auto Responses'!$J$5,$O249*$L249)</f>
      </c>
      <c r="Q249" s="106">
        <f t="shared" si="21"/>
      </c>
      <c r="R249" s="106">
        <f t="shared" si="26"/>
      </c>
      <c r="S249" s="106">
        <f t="shared" si="22"/>
      </c>
      <c r="T249" s="106">
        <f t="shared" si="23"/>
      </c>
      <c r="U249" s="106">
        <f t="shared" si="27"/>
      </c>
      <c r="V249" s="106">
        <f t="shared" si="24"/>
      </c>
    </row>
    <row r="250" spans="1:22" ht="60" x14ac:dyDescent="0.2">
      <c r="A250" s="4">
        <f>Questions!$A250</f>
      </c>
      <c r="B250" s="4">
        <f t="shared" si="25"/>
      </c>
      <c r="C250" s="4">
        <f>VLOOKUP($A250,Questions!$A$3:$L$333,2,0)&amp;""</f>
      </c>
      <c r="D250" s="4">
        <f>VLOOKUP($A250,Questions!$A$3:$L$333,11,0)&amp;""</f>
      </c>
      <c r="E250" s="4">
        <f>VLOOKUP($A250,Questions!$A$3:$L$333,12,0)&amp;""</f>
      </c>
      <c r="F250" s="4">
        <f>VLOOKUP($A250,'Privacy Analyst Evaluation'!$A$46:$K$120,3,0)&amp;""</f>
      </c>
      <c r="G250" s="4">
        <f>VLOOKUP($A250,'Privacy Analyst Evaluation'!$A$46:$K$120,7,0)&amp;""</f>
      </c>
      <c r="H250" s="4">
        <f>VLOOKUP($A250,'Privacy Analyst Evaluation'!$A$46:$K$120,8,0)&amp;""</f>
      </c>
      <c r="I250" s="4">
        <f>VLOOKUP($A250,'Privacy Analyst Evaluation'!$A$46:$K$120,9,0)&amp;""</f>
      </c>
      <c r="J250" s="4">
        <f>VLOOKUP($A250,'Privacy Analyst Evaluation'!$A$46:$K$120,10,0)&amp;""</f>
      </c>
      <c r="K250" s="4">
        <f>IF($I250='Auto Responses'!$J$11,20,IF($I250='Auto Responses'!$J$13,5,10))</f>
      </c>
      <c r="L250" s="106">
        <f>IF($E250='Auto Responses'!$L$13, 'Auto Responses'!$J$5,IF(AND($D250='Auto Responses'!$J$27,$H250=""),'Auto Responses'!$J$5,IF(AND($D250='Auto Responses'!$J$27,$H250='Auto Responses'!$J$7),1,IF(AND($D250='Auto Responses'!$J$27,$H250='Auto Responses'!$J$8),0,IF(OR(AND($F250=$G250,$H250=""),$H250='Auto Responses'!$J$7),1,0)))))</f>
      </c>
      <c r="M250" s="4">
        <f>VLOOKUP($A250,'Privacy Analyst Evaluation'!$A$46:$K$120,11,0)&amp;""</f>
      </c>
      <c r="N250" s="4">
        <f>IF($J250='Auto Responses'!$J$11,1,IF(AND($J250="",$I250='Auto Responses'!$J$11),1,0))</f>
      </c>
      <c r="O250" s="106">
        <f>IF(OR($E250='Auto Responses'!$L$13,$F$24='Auto Responses'!$J$4,$F250='Auto Responses'!$J$5),'Auto Responses'!$J$5,IF($J250="",$K250,IF($J250='Auto Responses'!$J$13,5,IF($J250='Auto Responses'!$J$12,10,IF($J250='Auto Responses'!$J$11,20,0)))))</f>
      </c>
      <c r="P250" s="106">
        <f>IF(OR($O250='Auto Responses'!$J$5,$L250='Auto Responses'!$J$5),'Auto Responses'!$J$5,$O250*$L250)</f>
      </c>
      <c r="Q250" s="106">
        <f t="shared" si="21"/>
      </c>
      <c r="R250" s="106">
        <f t="shared" si="26"/>
      </c>
      <c r="S250" s="106">
        <f t="shared" si="22"/>
      </c>
      <c r="T250" s="106">
        <f t="shared" si="23"/>
      </c>
      <c r="U250" s="106">
        <f t="shared" si="27"/>
      </c>
      <c r="V250" s="106">
        <f t="shared" si="24"/>
      </c>
    </row>
    <row r="251" spans="1:22" ht="75" x14ac:dyDescent="0.2">
      <c r="A251" s="4">
        <f>Questions!$A251</f>
      </c>
      <c r="B251" s="4">
        <f t="shared" si="25"/>
      </c>
      <c r="C251" s="4">
        <f>VLOOKUP($A251,Questions!$A$3:$L$333,2,0)&amp;""</f>
      </c>
      <c r="D251" s="4">
        <f>VLOOKUP($A251,Questions!$A$3:$L$333,11,0)&amp;""</f>
      </c>
      <c r="E251" s="4">
        <f>VLOOKUP($A251,Questions!$A$3:$L$333,12,0)&amp;""</f>
      </c>
      <c r="F251" s="4">
        <f>VLOOKUP($A251,'Privacy Analyst Evaluation'!$A$46:$K$120,3,0)&amp;""</f>
      </c>
      <c r="G251" s="4">
        <f>VLOOKUP($A251,'Privacy Analyst Evaluation'!$A$46:$K$120,7,0)&amp;""</f>
      </c>
      <c r="H251" s="4">
        <f>VLOOKUP($A251,'Privacy Analyst Evaluation'!$A$46:$K$120,8,0)&amp;""</f>
      </c>
      <c r="I251" s="4">
        <f>VLOOKUP($A251,'Privacy Analyst Evaluation'!$A$46:$K$120,9,0)&amp;""</f>
      </c>
      <c r="J251" s="4">
        <f>VLOOKUP($A251,'Privacy Analyst Evaluation'!$A$46:$K$120,10,0)&amp;""</f>
      </c>
      <c r="K251" s="4">
        <f>IF($I251='Auto Responses'!$J$11,20,IF($I251='Auto Responses'!$J$13,5,10))</f>
      </c>
      <c r="L251" s="106">
        <f>IF($E251='Auto Responses'!$L$13, 'Auto Responses'!$J$5,IF(AND($D251='Auto Responses'!$J$27,$H251=""),'Auto Responses'!$J$5,IF(AND($D251='Auto Responses'!$J$27,$H251='Auto Responses'!$J$7),1,IF(AND($D251='Auto Responses'!$J$27,$H251='Auto Responses'!$J$8),0,IF(OR(AND($F251=$G251,$H251=""),$H251='Auto Responses'!$J$7),1,0)))))</f>
      </c>
      <c r="M251" s="4">
        <f>VLOOKUP($A251,'Privacy Analyst Evaluation'!$A$46:$K$120,11,0)&amp;""</f>
      </c>
      <c r="N251" s="4">
        <f>IF($J251='Auto Responses'!$J$11,1,IF(AND($J251="",$I251='Auto Responses'!$J$11),1,0))</f>
      </c>
      <c r="O251" s="106">
        <f>IF(OR($E251='Auto Responses'!$L$13,$F$24='Auto Responses'!$J$4,$F251='Auto Responses'!$J$5),'Auto Responses'!$J$5,IF($J251="",$K251,IF($J251='Auto Responses'!$J$13,5,IF($J251='Auto Responses'!$J$12,10,IF($J251='Auto Responses'!$J$11,20,0)))))</f>
      </c>
      <c r="P251" s="106">
        <f>IF(OR($O251='Auto Responses'!$J$5,$L251='Auto Responses'!$J$5),'Auto Responses'!$J$5,$O251*$L251)</f>
      </c>
      <c r="Q251" s="106">
        <f t="shared" si="21"/>
      </c>
      <c r="R251" s="106">
        <f t="shared" si="26"/>
      </c>
      <c r="S251" s="106">
        <f t="shared" si="22"/>
      </c>
      <c r="T251" s="106">
        <f t="shared" si="23"/>
      </c>
      <c r="U251" s="106">
        <f t="shared" si="27"/>
      </c>
      <c r="V251" s="106">
        <f t="shared" si="24"/>
      </c>
    </row>
    <row r="252" spans="1:22" ht="60" x14ac:dyDescent="0.2">
      <c r="A252" s="4">
        <f>Questions!$A252</f>
      </c>
      <c r="B252" s="4">
        <f t="shared" si="25"/>
      </c>
      <c r="C252" s="4">
        <f>VLOOKUP($A252,Questions!$A$3:$L$333,2,0)&amp;""</f>
      </c>
      <c r="D252" s="4">
        <f>VLOOKUP($A252,Questions!$A$3:$L$333,11,0)&amp;""</f>
      </c>
      <c r="E252" s="4">
        <f>VLOOKUP($A252,Questions!$A$3:$L$333,12,0)&amp;""</f>
      </c>
      <c r="F252" s="4">
        <f>VLOOKUP($A252,'Privacy Analyst Evaluation'!$A$46:$K$120,3,0)&amp;""</f>
      </c>
      <c r="G252" s="4">
        <f>VLOOKUP($A252,'Privacy Analyst Evaluation'!$A$46:$K$120,7,0)&amp;""</f>
      </c>
      <c r="H252" s="4">
        <f>VLOOKUP($A252,'Privacy Analyst Evaluation'!$A$46:$K$120,8,0)&amp;""</f>
      </c>
      <c r="I252" s="4">
        <f>VLOOKUP($A252,'Privacy Analyst Evaluation'!$A$46:$K$120,9,0)&amp;""</f>
      </c>
      <c r="J252" s="4">
        <f>VLOOKUP($A252,'Privacy Analyst Evaluation'!$A$46:$K$120,10,0)&amp;""</f>
      </c>
      <c r="K252" s="4">
        <f>IF($I252='Auto Responses'!$J$11,20,IF($I252='Auto Responses'!$J$13,5,10))</f>
      </c>
      <c r="L252" s="106">
        <f>IF($E252='Auto Responses'!$L$13, 'Auto Responses'!$J$5,IF(AND($D252='Auto Responses'!$J$27,$H252=""),'Auto Responses'!$J$5,IF(AND($D252='Auto Responses'!$J$27,$H252='Auto Responses'!$J$7),1,IF(AND($D252='Auto Responses'!$J$27,$H252='Auto Responses'!$J$8),0,IF(OR(AND($F252=$G252,$H252=""),$H252='Auto Responses'!$J$7),1,0)))))</f>
      </c>
      <c r="M252" s="4">
        <f>VLOOKUP($A252,'Privacy Analyst Evaluation'!$A$46:$K$120,11,0)&amp;""</f>
      </c>
      <c r="N252" s="4">
        <f>IF($J252='Auto Responses'!$J$11,1,IF(AND($J252="",$I252='Auto Responses'!$J$11),1,0))</f>
      </c>
      <c r="O252" s="106">
        <f>IF(OR($E252='Auto Responses'!$L$13,$F$24='Auto Responses'!$J$4,$F252='Auto Responses'!$J$5),'Auto Responses'!$J$5,IF($J252="",$K252,IF($J252='Auto Responses'!$J$13,5,IF($J252='Auto Responses'!$J$12,10,IF($J252='Auto Responses'!$J$11,20,0)))))</f>
      </c>
      <c r="P252" s="106">
        <f>IF(OR($O252='Auto Responses'!$J$5,$L252='Auto Responses'!$J$5),'Auto Responses'!$J$5,$O252*$L252)</f>
      </c>
      <c r="Q252" s="106">
        <f t="shared" si="21"/>
      </c>
      <c r="R252" s="106">
        <f t="shared" si="26"/>
      </c>
      <c r="S252" s="106">
        <f t="shared" si="22"/>
      </c>
      <c r="T252" s="106">
        <f t="shared" si="23"/>
      </c>
      <c r="U252" s="106">
        <f t="shared" si="27"/>
      </c>
      <c r="V252" s="106">
        <f t="shared" si="24"/>
      </c>
    </row>
    <row r="253" spans="1:22" ht="60" x14ac:dyDescent="0.2">
      <c r="A253" s="4">
        <f>Questions!$A253</f>
      </c>
      <c r="B253" s="4">
        <f t="shared" si="25"/>
      </c>
      <c r="C253" s="4">
        <f>VLOOKUP($A253,Questions!$A$3:$L$333,2,0)&amp;""</f>
      </c>
      <c r="D253" s="4">
        <f>VLOOKUP($A253,Questions!$A$3:$L$333,11,0)&amp;""</f>
      </c>
      <c r="E253" s="4">
        <f>VLOOKUP($A253,Questions!$A$3:$L$333,12,0)&amp;""</f>
      </c>
      <c r="F253" s="4">
        <f>VLOOKUP($A253,'Privacy Analyst Evaluation'!$A$46:$K$120,3,0)&amp;""</f>
      </c>
      <c r="G253" s="4">
        <f>VLOOKUP($A253,'Privacy Analyst Evaluation'!$A$46:$K$120,7,0)&amp;""</f>
      </c>
      <c r="H253" s="4">
        <f>VLOOKUP($A253,'Privacy Analyst Evaluation'!$A$46:$K$120,8,0)&amp;""</f>
      </c>
      <c r="I253" s="4">
        <f>VLOOKUP($A253,'Privacy Analyst Evaluation'!$A$46:$K$120,9,0)&amp;""</f>
      </c>
      <c r="J253" s="4">
        <f>VLOOKUP($A253,'Privacy Analyst Evaluation'!$A$46:$K$120,10,0)&amp;""</f>
      </c>
      <c r="K253" s="4">
        <f>IF($I253='Auto Responses'!$J$11,20,IF($I253='Auto Responses'!$J$13,5,10))</f>
      </c>
      <c r="L253" s="106">
        <f>IF($E253='Auto Responses'!$L$13, 'Auto Responses'!$J$5,IF(AND($D253='Auto Responses'!$J$27,$H253=""),'Auto Responses'!$J$5,IF(AND($D253='Auto Responses'!$J$27,$H253='Auto Responses'!$J$7),1,IF(AND($D253='Auto Responses'!$J$27,$H253='Auto Responses'!$J$8),0,IF(OR(AND($F253=$G253,$H253=""),$H253='Auto Responses'!$J$7),1,0)))))</f>
      </c>
      <c r="M253" s="4">
        <f>VLOOKUP($A253,'Privacy Analyst Evaluation'!$A$46:$K$120,11,0)&amp;""</f>
      </c>
      <c r="N253" s="4">
        <f>IF($J253='Auto Responses'!$J$11,1,IF(AND($J253="",$I253='Auto Responses'!$J$11),1,0))</f>
      </c>
      <c r="O253" s="106">
        <f>IF(OR($E253='Auto Responses'!$L$13,$F$24='Auto Responses'!$J$4,$F253='Auto Responses'!$J$5),'Auto Responses'!$J$5,IF($J253="",$K253,IF($J253='Auto Responses'!$J$13,5,IF($J253='Auto Responses'!$J$12,10,IF($J253='Auto Responses'!$J$11,20,0)))))</f>
      </c>
      <c r="P253" s="106">
        <f>IF(OR($O253='Auto Responses'!$J$5,$L253='Auto Responses'!$J$5),'Auto Responses'!$J$5,$O253*$L253)</f>
      </c>
      <c r="Q253" s="106">
        <f t="shared" si="21"/>
      </c>
      <c r="R253" s="106">
        <f t="shared" si="26"/>
      </c>
      <c r="S253" s="106">
        <f t="shared" si="22"/>
      </c>
      <c r="T253" s="106">
        <f t="shared" si="23"/>
      </c>
      <c r="U253" s="106">
        <f t="shared" si="27"/>
      </c>
      <c r="V253" s="106">
        <f t="shared" si="24"/>
      </c>
    </row>
    <row r="254" spans="1:22" ht="60" x14ac:dyDescent="0.2">
      <c r="A254" s="4">
        <f>Questions!$A254</f>
      </c>
      <c r="B254" s="4">
        <f t="shared" si="25"/>
      </c>
      <c r="C254" s="4">
        <f>VLOOKUP($A254,Questions!$A$3:$L$333,2,0)&amp;""</f>
      </c>
      <c r="D254" s="4">
        <f>VLOOKUP($A254,Questions!$A$3:$L$333,11,0)&amp;""</f>
      </c>
      <c r="E254" s="4">
        <f>VLOOKUP($A254,Questions!$A$3:$L$333,12,0)&amp;""</f>
      </c>
      <c r="F254" s="4">
        <f>VLOOKUP($A254,'Privacy Analyst Evaluation'!$A$46:$K$120,3,0)&amp;""</f>
      </c>
      <c r="G254" s="4">
        <f>VLOOKUP($A254,'Privacy Analyst Evaluation'!$A$46:$K$120,7,0)&amp;""</f>
      </c>
      <c r="H254" s="4">
        <f>VLOOKUP($A254,'Privacy Analyst Evaluation'!$A$46:$K$120,8,0)&amp;""</f>
      </c>
      <c r="I254" s="4">
        <f>VLOOKUP($A254,'Privacy Analyst Evaluation'!$A$46:$K$120,9,0)&amp;""</f>
      </c>
      <c r="J254" s="4">
        <f>VLOOKUP($A254,'Privacy Analyst Evaluation'!$A$46:$K$120,10,0)&amp;""</f>
      </c>
      <c r="K254" s="4">
        <f>IF($I254='Auto Responses'!$J$11,20,IF($I254='Auto Responses'!$J$13,5,10))</f>
      </c>
      <c r="L254" s="106">
        <f>IF($E254='Auto Responses'!$L$13, 'Auto Responses'!$J$5,IF(AND($D254='Auto Responses'!$J$27,$H254=""),'Auto Responses'!$J$5,IF(AND($D254='Auto Responses'!$J$27,$H254='Auto Responses'!$J$7),1,IF(AND($D254='Auto Responses'!$J$27,$H254='Auto Responses'!$J$8),0,IF(OR(AND($F254=$G254,$H254=""),$H254='Auto Responses'!$J$7),1,0)))))</f>
      </c>
      <c r="M254" s="4">
        <f>VLOOKUP($A254,'Privacy Analyst Evaluation'!$A$46:$K$120,11,0)&amp;""</f>
      </c>
      <c r="N254" s="4">
        <f>IF($J254='Auto Responses'!$J$11,1,IF(AND($J254="",$I254='Auto Responses'!$J$11),1,0))</f>
      </c>
      <c r="O254" s="106">
        <f>IF(OR($E254='Auto Responses'!$L$13,$F$24='Auto Responses'!$J$4,$F254='Auto Responses'!$J$5),'Auto Responses'!$J$5,IF($J254="",$K254,IF($J254='Auto Responses'!$J$13,5,IF($J254='Auto Responses'!$J$12,10,IF($J254='Auto Responses'!$J$11,20,0)))))</f>
      </c>
      <c r="P254" s="106">
        <f>IF(OR($O254='Auto Responses'!$J$5,$L254='Auto Responses'!$J$5),'Auto Responses'!$J$5,$O254*$L254)</f>
      </c>
      <c r="Q254" s="106">
        <f t="shared" ref="Q254:Q316" si="32">IF(M254="TRUE",1,0)</f>
      </c>
      <c r="R254" s="106">
        <f t="shared" si="26"/>
      </c>
      <c r="S254" s="106">
        <f t="shared" ref="S254:S316" si="33">IF(Q254=0,0,R254)</f>
      </c>
      <c r="T254" s="106">
        <f t="shared" ref="T254:T316" si="34">IF(N254=1,1,0)</f>
      </c>
      <c r="U254" s="106">
        <f t="shared" si="27"/>
      </c>
      <c r="V254" s="106">
        <f t="shared" ref="V254:V316" si="35">IF(T254=0,0,U254)</f>
      </c>
    </row>
    <row r="255" spans="1:22" ht="60" x14ac:dyDescent="0.2">
      <c r="A255" s="4">
        <f>Questions!$A255</f>
      </c>
      <c r="B255" s="4">
        <f t="shared" ref="B255:B317" si="36">LEFT(A255,4)</f>
      </c>
      <c r="C255" s="4">
        <f>VLOOKUP($A255,Questions!$A$3:$L$333,2,0)&amp;""</f>
      </c>
      <c r="D255" s="4">
        <f>VLOOKUP($A255,Questions!$A$3:$L$333,11,0)&amp;""</f>
      </c>
      <c r="E255" s="4">
        <f>VLOOKUP($A255,Questions!$A$3:$L$333,12,0)&amp;""</f>
      </c>
      <c r="F255" s="4">
        <f>VLOOKUP($A255,'Privacy Analyst Evaluation'!$A$46:$K$120,3,0)&amp;""</f>
      </c>
      <c r="G255" s="4">
        <f>VLOOKUP($A255,'Privacy Analyst Evaluation'!$A$46:$K$120,7,0)&amp;""</f>
      </c>
      <c r="H255" s="4">
        <f>VLOOKUP($A255,'Privacy Analyst Evaluation'!$A$46:$K$120,8,0)&amp;""</f>
      </c>
      <c r="I255" s="4">
        <f>VLOOKUP($A255,'Privacy Analyst Evaluation'!$A$46:$K$120,9,0)&amp;""</f>
      </c>
      <c r="J255" s="4">
        <f>VLOOKUP($A255,'Privacy Analyst Evaluation'!$A$46:$K$120,10,0)&amp;""</f>
      </c>
      <c r="K255" s="4">
        <f>IF($I255='Auto Responses'!$J$11,20,IF($I255='Auto Responses'!$J$13,5,10))</f>
      </c>
      <c r="L255" s="106">
        <f>IF($E255='Auto Responses'!$L$13, 'Auto Responses'!$J$5,IF(AND($D255='Auto Responses'!$J$27,$H255=""),'Auto Responses'!$J$5,IF(AND($D255='Auto Responses'!$J$27,$H255='Auto Responses'!$J$7),1,IF(AND($D255='Auto Responses'!$J$27,$H255='Auto Responses'!$J$8),0,IF(OR(AND($F255=$G255,$H255=""),$H255='Auto Responses'!$J$7),1,0)))))</f>
      </c>
      <c r="M255" s="4">
        <f>VLOOKUP($A255,'Privacy Analyst Evaluation'!$A$46:$K$120,11,0)&amp;""</f>
      </c>
      <c r="N255" s="4">
        <f>IF($J255='Auto Responses'!$J$11,1,IF(AND($J255="",$I255='Auto Responses'!$J$11),1,0))</f>
      </c>
      <c r="O255" s="106">
        <f>IF(OR($E255='Auto Responses'!$L$13,$F$24='Auto Responses'!$J$4,$F255='Auto Responses'!$J$5),'Auto Responses'!$J$5,IF($J255="",$K255,IF($J255='Auto Responses'!$J$13,5,IF($J255='Auto Responses'!$J$12,10,IF($J255='Auto Responses'!$J$11,20,0)))))</f>
      </c>
      <c r="P255" s="106">
        <f>IF(OR($O255='Auto Responses'!$J$5,$L255='Auto Responses'!$J$5),'Auto Responses'!$J$5,$O255*$L255)</f>
      </c>
      <c r="Q255" s="106">
        <f t="shared" si="32"/>
      </c>
      <c r="R255" s="106">
        <f t="shared" si="26"/>
      </c>
      <c r="S255" s="106">
        <f t="shared" si="33"/>
      </c>
      <c r="T255" s="106">
        <f t="shared" si="34"/>
      </c>
      <c r="U255" s="106">
        <f t="shared" si="27"/>
      </c>
      <c r="V255" s="106">
        <f t="shared" si="35"/>
      </c>
    </row>
    <row r="256" spans="1:22" ht="60" x14ac:dyDescent="0.2">
      <c r="A256" s="4">
        <f>Questions!$A256</f>
      </c>
      <c r="B256" s="4">
        <f t="shared" si="36"/>
      </c>
      <c r="C256" s="4">
        <f>VLOOKUP($A256,Questions!$A$3:$L$333,2,0)&amp;""</f>
      </c>
      <c r="D256" s="4">
        <f>VLOOKUP($A256,Questions!$A$3:$L$333,11,0)&amp;""</f>
      </c>
      <c r="E256" s="4">
        <f>VLOOKUP($A256,Questions!$A$3:$L$333,12,0)&amp;""</f>
      </c>
      <c r="F256" s="4">
        <f>VLOOKUP($A256,'Privacy Analyst Evaluation'!$A$46:$K$120,3,0)&amp;""</f>
      </c>
      <c r="G256" s="4">
        <f>VLOOKUP($A256,'Privacy Analyst Evaluation'!$A$46:$K$120,7,0)&amp;""</f>
      </c>
      <c r="H256" s="4">
        <f>VLOOKUP($A256,'Privacy Analyst Evaluation'!$A$46:$K$120,8,0)&amp;""</f>
      </c>
      <c r="I256" s="4">
        <f>VLOOKUP($A256,'Privacy Analyst Evaluation'!$A$46:$K$120,9,0)&amp;""</f>
      </c>
      <c r="J256" s="4">
        <f>VLOOKUP($A256,'Privacy Analyst Evaluation'!$A$46:$K$120,10,0)&amp;""</f>
      </c>
      <c r="K256" s="4">
        <f>IF($I256='Auto Responses'!$J$11,20,IF($I256='Auto Responses'!$J$13,5,10))</f>
      </c>
      <c r="L256" s="106">
        <f>IF($E256='Auto Responses'!$L$13, 'Auto Responses'!$J$5,IF(AND($D256='Auto Responses'!$J$27,$H256=""),'Auto Responses'!$J$5,IF(AND($D256='Auto Responses'!$J$27,$H256='Auto Responses'!$J$7),1,IF(AND($D256='Auto Responses'!$J$27,$H256='Auto Responses'!$J$8),0,IF(OR(AND($F256=$G256,$H256=""),$H256='Auto Responses'!$J$7),1,0)))))</f>
      </c>
      <c r="M256" s="4">
        <f>VLOOKUP($A256,'Privacy Analyst Evaluation'!$A$46:$K$120,11,0)&amp;""</f>
      </c>
      <c r="N256" s="4">
        <f>IF($J256='Auto Responses'!$J$11,1,IF(AND($J256="",$I256='Auto Responses'!$J$11),1,0))</f>
      </c>
      <c r="O256" s="106">
        <f>IF(OR($E256='Auto Responses'!$L$13,$F$24='Auto Responses'!$J$4,$F256='Auto Responses'!$J$5),'Auto Responses'!$J$5,IF($J256="",$K256,IF($J256='Auto Responses'!$J$13,5,IF($J256='Auto Responses'!$J$12,10,IF($J256='Auto Responses'!$J$11,20,0)))))</f>
      </c>
      <c r="P256" s="106">
        <f>IF(OR($O256='Auto Responses'!$J$5,$L256='Auto Responses'!$J$5),'Auto Responses'!$J$5,$O256*$L256)</f>
      </c>
      <c r="Q256" s="106">
        <f t="shared" si="32"/>
      </c>
      <c r="R256" s="106">
        <f t="shared" si="26"/>
      </c>
      <c r="S256" s="106">
        <f t="shared" si="33"/>
      </c>
      <c r="T256" s="106">
        <f t="shared" si="34"/>
      </c>
      <c r="U256" s="106">
        <f t="shared" si="27"/>
      </c>
      <c r="V256" s="106">
        <f t="shared" si="35"/>
      </c>
    </row>
    <row r="257" spans="1:22" ht="60" x14ac:dyDescent="0.2">
      <c r="A257" s="4">
        <f>Questions!$A257</f>
      </c>
      <c r="B257" s="4">
        <f t="shared" si="36"/>
      </c>
      <c r="C257" s="4">
        <f>VLOOKUP($A257,Questions!$A$3:$L$333,2,0)&amp;""</f>
      </c>
      <c r="D257" s="4">
        <f>VLOOKUP($A257,Questions!$A$3:$L$333,11,0)&amp;""</f>
      </c>
      <c r="E257" s="4">
        <f>VLOOKUP($A257,Questions!$A$3:$L$333,12,0)&amp;""</f>
      </c>
      <c r="F257" s="4">
        <f>VLOOKUP($A257,'Privacy Analyst Evaluation'!$A$46:$K$120,3,0)&amp;""</f>
      </c>
      <c r="G257" s="4">
        <f>VLOOKUP($A257,'Privacy Analyst Evaluation'!$A$46:$K$120,7,0)&amp;""</f>
      </c>
      <c r="H257" s="4">
        <f>VLOOKUP($A257,'Privacy Analyst Evaluation'!$A$46:$K$120,8,0)&amp;""</f>
      </c>
      <c r="I257" s="4">
        <f>VLOOKUP($A257,'Privacy Analyst Evaluation'!$A$46:$K$120,9,0)&amp;""</f>
      </c>
      <c r="J257" s="4">
        <f>VLOOKUP($A257,'Privacy Analyst Evaluation'!$A$46:$K$120,10,0)&amp;""</f>
      </c>
      <c r="K257" s="4">
        <f>IF($I257='Auto Responses'!$J$11,20,IF($I257='Auto Responses'!$J$13,5,10))</f>
      </c>
      <c r="L257" s="106">
        <f>IF($E257='Auto Responses'!$L$13, 'Auto Responses'!$J$5,IF(AND($D257='Auto Responses'!$J$27,$H257=""),'Auto Responses'!$J$5,IF(AND($D257='Auto Responses'!$J$27,$H257='Auto Responses'!$J$7),1,IF(AND($D257='Auto Responses'!$J$27,$H257='Auto Responses'!$J$8),0,IF(OR(AND($F257=$G257,$H257=""),$H257='Auto Responses'!$J$7),1,0)))))</f>
      </c>
      <c r="M257" s="4">
        <f>VLOOKUP($A257,'Privacy Analyst Evaluation'!$A$46:$K$120,11,0)&amp;""</f>
      </c>
      <c r="N257" s="4">
        <f>IF($J257='Auto Responses'!$J$11,1,IF(AND($J257="",$I257='Auto Responses'!$J$11),1,0))</f>
      </c>
      <c r="O257" s="106">
        <f>IF(OR($E257='Auto Responses'!$L$13,$F$24='Auto Responses'!$J$4,$F257='Auto Responses'!$J$5),'Auto Responses'!$J$5,IF($J257="",$K257,IF($J257='Auto Responses'!$J$13,5,IF($J257='Auto Responses'!$J$12,10,IF($J257='Auto Responses'!$J$11,20,0)))))</f>
      </c>
      <c r="P257" s="106">
        <f>IF(OR($O257='Auto Responses'!$J$5,$L257='Auto Responses'!$J$5),'Auto Responses'!$J$5,$O257*$L257)</f>
      </c>
      <c r="Q257" s="106">
        <f t="shared" si="32"/>
      </c>
      <c r="R257" s="106">
        <f t="shared" si="26"/>
      </c>
      <c r="S257" s="106">
        <f t="shared" si="33"/>
      </c>
      <c r="T257" s="106">
        <f t="shared" si="34"/>
      </c>
      <c r="U257" s="106">
        <f t="shared" si="27"/>
      </c>
      <c r="V257" s="106">
        <f t="shared" si="35"/>
      </c>
    </row>
    <row r="258" spans="1:22" ht="60" x14ac:dyDescent="0.2">
      <c r="A258" s="4">
        <f>Questions!$A258</f>
      </c>
      <c r="B258" s="4">
        <f t="shared" si="36"/>
      </c>
      <c r="C258" s="4">
        <f>VLOOKUP($A258,Questions!$A$3:$L$333,2,0)&amp;""</f>
      </c>
      <c r="D258" s="4">
        <f>VLOOKUP($A258,Questions!$A$3:$L$333,11,0)&amp;""</f>
      </c>
      <c r="E258" s="4">
        <f>VLOOKUP($A258,Questions!$A$3:$L$333,12,0)&amp;""</f>
      </c>
      <c r="F258" s="4">
        <f>VLOOKUP($A258,'Privacy Analyst Evaluation'!$A$46:$K$120,3,0)&amp;""</f>
      </c>
      <c r="G258" s="4">
        <f>VLOOKUP($A258,'Privacy Analyst Evaluation'!$A$46:$K$120,7,0)&amp;""</f>
      </c>
      <c r="H258" s="4">
        <f>VLOOKUP($A258,'Privacy Analyst Evaluation'!$A$46:$K$120,8,0)&amp;""</f>
      </c>
      <c r="I258" s="4">
        <f>VLOOKUP($A258,'Privacy Analyst Evaluation'!$A$46:$K$120,9,0)&amp;""</f>
      </c>
      <c r="J258" s="4">
        <f>VLOOKUP($A258,'Privacy Analyst Evaluation'!$A$46:$K$120,10,0)&amp;""</f>
      </c>
      <c r="K258" s="4">
        <f>IF($I258='Auto Responses'!$J$11,20,IF($I258='Auto Responses'!$J$13,5,10))</f>
      </c>
      <c r="L258" s="106">
        <f>IF($E258='Auto Responses'!$L$13, 'Auto Responses'!$J$5,IF(AND($D258='Auto Responses'!$J$27,$H258=""),'Auto Responses'!$J$5,IF(AND($D258='Auto Responses'!$J$27,$H258='Auto Responses'!$J$7),1,IF(AND($D258='Auto Responses'!$J$27,$H258='Auto Responses'!$J$8),0,IF(OR(AND($F258=$G258,$H258=""),$H258='Auto Responses'!$J$7),1,0)))))</f>
      </c>
      <c r="M258" s="4">
        <f>VLOOKUP($A258,'Privacy Analyst Evaluation'!$A$46:$K$120,11,0)&amp;""</f>
      </c>
      <c r="N258" s="4">
        <f>IF($J258='Auto Responses'!$J$11,1,IF(AND($J258="",$I258='Auto Responses'!$J$11),1,0))</f>
      </c>
      <c r="O258" s="106">
        <f>IF(OR($E258='Auto Responses'!$L$13,$F$24='Auto Responses'!$J$4,$F258='Auto Responses'!$J$5),'Auto Responses'!$J$5,IF($J258="",$K258,IF($J258='Auto Responses'!$J$13,5,IF($J258='Auto Responses'!$J$12,10,IF($J258='Auto Responses'!$J$11,20,0)))))</f>
      </c>
      <c r="P258" s="106">
        <f>IF(OR($O258='Auto Responses'!$J$5,$L258='Auto Responses'!$J$5),'Auto Responses'!$J$5,$O258*$L258)</f>
      </c>
      <c r="Q258" s="106">
        <f t="shared" si="32"/>
      </c>
      <c r="R258" s="106">
        <f t="shared" si="26"/>
      </c>
      <c r="S258" s="106">
        <f t="shared" si="33"/>
      </c>
      <c r="T258" s="106">
        <f t="shared" si="34"/>
      </c>
      <c r="U258" s="106">
        <f t="shared" si="27"/>
      </c>
      <c r="V258" s="106">
        <f t="shared" si="35"/>
      </c>
    </row>
    <row r="259" spans="1:22" ht="60" x14ac:dyDescent="0.2">
      <c r="A259" s="4">
        <f>Questions!$A259</f>
      </c>
      <c r="B259" s="4">
        <f t="shared" si="36"/>
      </c>
      <c r="C259" s="4">
        <f>VLOOKUP($A259,Questions!$A$3:$L$333,2,0)&amp;""</f>
      </c>
      <c r="D259" s="4">
        <f>VLOOKUP($A259,Questions!$A$3:$L$333,11,0)&amp;""</f>
      </c>
      <c r="E259" s="4">
        <f>VLOOKUP($A259,Questions!$A$3:$L$333,12,0)&amp;""</f>
      </c>
      <c r="F259" s="4">
        <f>VLOOKUP($A259,'Privacy Analyst Evaluation'!$A$46:$K$120,3,0)&amp;""</f>
      </c>
      <c r="G259" s="4">
        <f>VLOOKUP($A259,'Privacy Analyst Evaluation'!$A$46:$K$120,7,0)&amp;""</f>
      </c>
      <c r="H259" s="4">
        <f>VLOOKUP($A259,'Privacy Analyst Evaluation'!$A$46:$K$120,8,0)&amp;""</f>
      </c>
      <c r="I259" s="4">
        <f>VLOOKUP($A259,'Privacy Analyst Evaluation'!$A$46:$K$120,9,0)&amp;""</f>
      </c>
      <c r="J259" s="4">
        <f>VLOOKUP($A259,'Privacy Analyst Evaluation'!$A$46:$K$120,10,0)&amp;""</f>
      </c>
      <c r="K259" s="4">
        <f>IF($I259='Auto Responses'!$J$11,20,IF($I259='Auto Responses'!$J$13,5,10))</f>
      </c>
      <c r="L259" s="106">
        <f>IF($E259='Auto Responses'!$L$13, 'Auto Responses'!$J$5,IF(AND($D259='Auto Responses'!$J$27,$H259=""),'Auto Responses'!$J$5,IF(AND($D259='Auto Responses'!$J$27,$H259='Auto Responses'!$J$7),1,IF(AND($D259='Auto Responses'!$J$27,$H259='Auto Responses'!$J$8),0,IF(OR(AND($F259=$G259,$H259=""),$H259='Auto Responses'!$J$7),1,0)))))</f>
      </c>
      <c r="M259" s="4">
        <f>VLOOKUP($A259,'Privacy Analyst Evaluation'!$A$46:$K$120,11,0)&amp;""</f>
      </c>
      <c r="N259" s="4">
        <f>IF($J259='Auto Responses'!$J$11,1,IF(AND($J259="",$I259='Auto Responses'!$J$11),1,0))</f>
      </c>
      <c r="O259" s="106">
        <f>IF(OR($E259='Auto Responses'!$L$13,$F$24='Auto Responses'!$J$4,$F259='Auto Responses'!$J$5),'Auto Responses'!$J$5,IF($J259="",$K259,IF($J259='Auto Responses'!$J$13,5,IF($J259='Auto Responses'!$J$12,10,IF($J259='Auto Responses'!$J$11,20,0)))))</f>
      </c>
      <c r="P259" s="106">
        <f>IF(OR($O259='Auto Responses'!$J$5,$L259='Auto Responses'!$J$5),'Auto Responses'!$J$5,$O259*$L259)</f>
      </c>
      <c r="Q259" s="106">
        <f t="shared" si="32"/>
      </c>
      <c r="R259" s="106">
        <f t="shared" si="26"/>
      </c>
      <c r="S259" s="106">
        <f t="shared" si="33"/>
      </c>
      <c r="T259" s="106">
        <f t="shared" si="34"/>
      </c>
      <c r="U259" s="106">
        <f t="shared" si="27"/>
      </c>
      <c r="V259" s="106">
        <f t="shared" si="35"/>
      </c>
    </row>
    <row r="260" spans="1:22" ht="60" x14ac:dyDescent="0.2">
      <c r="A260" s="4">
        <f>Questions!$A260</f>
      </c>
      <c r="B260" s="4">
        <f t="shared" si="36"/>
      </c>
      <c r="C260" s="4">
        <f>VLOOKUP($A260,Questions!$A$3:$L$333,2,0)&amp;""</f>
      </c>
      <c r="D260" s="4">
        <f>VLOOKUP($A260,Questions!$A$3:$L$333,11,0)&amp;""</f>
      </c>
      <c r="E260" s="4">
        <f>VLOOKUP($A260,Questions!$A$3:$L$333,12,0)&amp;""</f>
      </c>
      <c r="F260" s="4">
        <f>VLOOKUP($A260,'Privacy Analyst Evaluation'!$A$46:$K$120,3,0)&amp;""</f>
      </c>
      <c r="G260" s="4">
        <f>VLOOKUP($A260,'Privacy Analyst Evaluation'!$A$46:$K$120,7,0)&amp;""</f>
      </c>
      <c r="H260" s="4">
        <f>VLOOKUP($A260,'Privacy Analyst Evaluation'!$A$46:$K$120,8,0)&amp;""</f>
      </c>
      <c r="I260" s="4">
        <f>VLOOKUP($A260,'Privacy Analyst Evaluation'!$A$46:$K$120,9,0)&amp;""</f>
      </c>
      <c r="J260" s="4">
        <f>VLOOKUP($A260,'Privacy Analyst Evaluation'!$A$46:$K$120,10,0)&amp;""</f>
      </c>
      <c r="K260" s="4">
        <f>IF($I260='Auto Responses'!$J$11,20,IF($I260='Auto Responses'!$J$13,5,10))</f>
      </c>
      <c r="L260" s="106">
        <f>IF($E260='Auto Responses'!$L$13, 'Auto Responses'!$J$5,IF(AND($D260='Auto Responses'!$J$27,$H260=""),'Auto Responses'!$J$5,IF(AND($D260='Auto Responses'!$J$27,$H260='Auto Responses'!$J$7),1,IF(AND($D260='Auto Responses'!$J$27,$H260='Auto Responses'!$J$8),0,IF(OR(AND($F260=$G260,$H260=""),$H260='Auto Responses'!$J$7),1,0)))))</f>
      </c>
      <c r="M260" s="4">
        <f>VLOOKUP($A260,'Privacy Analyst Evaluation'!$A$46:$K$120,11,0)&amp;""</f>
      </c>
      <c r="N260" s="4">
        <f>IF($J260='Auto Responses'!$J$11,1,IF(AND($J260="",$I260='Auto Responses'!$J$11),1,0))</f>
      </c>
      <c r="O260" s="106">
        <f>IF(OR($E260='Auto Responses'!$L$13,$F$24='Auto Responses'!$J$4,$F260='Auto Responses'!$J$5),'Auto Responses'!$J$5,IF($J260="",$K260,IF($J260='Auto Responses'!$J$13,5,IF($J260='Auto Responses'!$J$12,10,IF($J260='Auto Responses'!$J$11,20,0)))))</f>
      </c>
      <c r="P260" s="106">
        <f>IF(OR($O260='Auto Responses'!$J$5,$L260='Auto Responses'!$J$5),'Auto Responses'!$J$5,$O260*$L260)</f>
      </c>
      <c r="Q260" s="106">
        <f t="shared" si="32"/>
      </c>
      <c r="R260" s="106">
        <f t="shared" si="26"/>
      </c>
      <c r="S260" s="106">
        <f t="shared" si="33"/>
      </c>
      <c r="T260" s="106">
        <f t="shared" si="34"/>
      </c>
      <c r="U260" s="106">
        <f t="shared" si="27"/>
      </c>
      <c r="V260" s="106">
        <f t="shared" si="35"/>
      </c>
    </row>
    <row r="261" spans="1:22" ht="60" x14ac:dyDescent="0.2">
      <c r="A261" s="4">
        <f>Questions!$A261</f>
      </c>
      <c r="B261" s="4">
        <f t="shared" si="36"/>
      </c>
      <c r="C261" s="4">
        <f>VLOOKUP($A261,Questions!$A$3:$L$333,2,0)&amp;""</f>
      </c>
      <c r="D261" s="4">
        <f>VLOOKUP($A261,Questions!$A$3:$L$333,11,0)&amp;""</f>
      </c>
      <c r="E261" s="4">
        <f>VLOOKUP($A261,Questions!$A$3:$L$333,12,0)&amp;""</f>
      </c>
      <c r="F261" s="4">
        <f>VLOOKUP($A261,'Privacy Analyst Evaluation'!$A$46:$K$120,3,0)&amp;""</f>
      </c>
      <c r="G261" s="4">
        <f>VLOOKUP($A261,'Privacy Analyst Evaluation'!$A$46:$K$120,7,0)&amp;""</f>
      </c>
      <c r="H261" s="4">
        <f>VLOOKUP($A261,'Privacy Analyst Evaluation'!$A$46:$K$120,8,0)&amp;""</f>
      </c>
      <c r="I261" s="4">
        <f>VLOOKUP($A261,'Privacy Analyst Evaluation'!$A$46:$K$120,9,0)&amp;""</f>
      </c>
      <c r="J261" s="4">
        <f>VLOOKUP($A261,'Privacy Analyst Evaluation'!$A$46:$K$120,10,0)&amp;""</f>
      </c>
      <c r="K261" s="4">
        <f>IF($I261='Auto Responses'!$J$11,20,IF($I261='Auto Responses'!$J$13,5,10))</f>
      </c>
      <c r="L261" s="106">
        <f>IF($E261='Auto Responses'!$L$13, 'Auto Responses'!$J$5,IF(AND($D261='Auto Responses'!$J$27,$H261=""),'Auto Responses'!$J$5,IF(AND($D261='Auto Responses'!$J$27,$H261='Auto Responses'!$J$7),1,IF(AND($D261='Auto Responses'!$J$27,$H261='Auto Responses'!$J$8),0,IF(OR(AND($F261=$G261,$H261=""),$H261='Auto Responses'!$J$7),1,0)))))</f>
      </c>
      <c r="M261" s="4">
        <f>VLOOKUP($A261,'Privacy Analyst Evaluation'!$A$46:$K$120,11,0)&amp;""</f>
      </c>
      <c r="N261" s="4">
        <f>IF($J261='Auto Responses'!$J$11,1,IF(AND($J261="",$I261='Auto Responses'!$J$11),1,0))</f>
      </c>
      <c r="O261" s="106">
        <f>IF(OR($E261='Auto Responses'!$L$13,$F$24='Auto Responses'!$J$4,$F261='Auto Responses'!$J$5),'Auto Responses'!$J$5,IF($J261="",$K261,IF($J261='Auto Responses'!$J$13,5,IF($J261='Auto Responses'!$J$12,10,IF($J261='Auto Responses'!$J$11,20,0)))))</f>
      </c>
      <c r="P261" s="106">
        <f>IF(OR($O261='Auto Responses'!$J$5,$L261='Auto Responses'!$J$5),'Auto Responses'!$J$5,$O261*$L261)</f>
      </c>
      <c r="Q261" s="106">
        <f t="shared" si="32"/>
      </c>
      <c r="R261" s="106">
        <f t="shared" ref="R261:R324" si="37">R260+Q261</f>
      </c>
      <c r="S261" s="106">
        <f t="shared" si="33"/>
      </c>
      <c r="T261" s="106">
        <f t="shared" si="34"/>
      </c>
      <c r="U261" s="106">
        <f t="shared" ref="U261:U324" si="38">U260+T261</f>
      </c>
      <c r="V261" s="106">
        <f t="shared" si="35"/>
      </c>
    </row>
    <row r="262" spans="1:22" ht="60" x14ac:dyDescent="0.2">
      <c r="A262" s="4">
        <f>Questions!$A262</f>
      </c>
      <c r="B262" s="4">
        <f t="shared" si="36"/>
      </c>
      <c r="C262" s="4">
        <f>VLOOKUP($A262,Questions!$A$3:$L$333,2,0)&amp;""</f>
      </c>
      <c r="D262" s="4">
        <f>VLOOKUP($A262,Questions!$A$3:$L$333,11,0)&amp;""</f>
      </c>
      <c r="E262" s="4">
        <f>VLOOKUP($A262,Questions!$A$3:$L$333,12,0)&amp;""</f>
      </c>
      <c r="F262" s="4">
        <f>VLOOKUP($A262,'Privacy Analyst Evaluation'!$A$46:$K$120,3,0)&amp;""</f>
      </c>
      <c r="G262" s="4">
        <f>VLOOKUP($A262,'Privacy Analyst Evaluation'!$A$46:$K$120,7,0)&amp;""</f>
      </c>
      <c r="H262" s="4">
        <f>VLOOKUP($A262,'Privacy Analyst Evaluation'!$A$46:$K$120,8,0)&amp;""</f>
      </c>
      <c r="I262" s="4">
        <f>VLOOKUP($A262,'Privacy Analyst Evaluation'!$A$46:$K$120,9,0)&amp;""</f>
      </c>
      <c r="J262" s="4">
        <f>VLOOKUP($A262,'Privacy Analyst Evaluation'!$A$46:$K$120,10,0)&amp;""</f>
      </c>
      <c r="K262" s="4">
        <f>IF($I262='Auto Responses'!$J$11,20,IF($I262='Auto Responses'!$J$13,5,10))</f>
      </c>
      <c r="L262" s="106">
        <f>IF($E262='Auto Responses'!$L$13, 'Auto Responses'!$J$5,IF(AND($D262='Auto Responses'!$J$27,$H262=""),'Auto Responses'!$J$5,IF(AND($D262='Auto Responses'!$J$27,$H262='Auto Responses'!$J$7),1,IF(AND($D262='Auto Responses'!$J$27,$H262='Auto Responses'!$J$8),0,IF(OR(AND($F262=$G262,$H262=""),$H262='Auto Responses'!$J$7),1,0)))))</f>
      </c>
      <c r="M262" s="4">
        <f>VLOOKUP($A262,'Privacy Analyst Evaluation'!$A$46:$K$120,11,0)&amp;""</f>
      </c>
      <c r="N262" s="4">
        <f>IF($J262='Auto Responses'!$J$11,1,IF(AND($J262="",$I262='Auto Responses'!$J$11),1,0))</f>
      </c>
      <c r="O262" s="106">
        <f>IF(OR($E262='Auto Responses'!$L$13,$F$24='Auto Responses'!$J$4,$F262='Auto Responses'!$J$5),'Auto Responses'!$J$5,IF($J262="",$K262,IF($J262='Auto Responses'!$J$13,5,IF($J262='Auto Responses'!$J$12,10,IF($J262='Auto Responses'!$J$11,20,0)))))</f>
      </c>
      <c r="P262" s="106">
        <f>IF(OR($O262='Auto Responses'!$J$5,$L262='Auto Responses'!$J$5),'Auto Responses'!$J$5,$O262*$L262)</f>
      </c>
      <c r="Q262" s="106">
        <f t="shared" si="32"/>
      </c>
      <c r="R262" s="106">
        <f t="shared" si="37"/>
      </c>
      <c r="S262" s="106">
        <f t="shared" si="33"/>
      </c>
      <c r="T262" s="106">
        <f t="shared" si="34"/>
      </c>
      <c r="U262" s="106">
        <f t="shared" si="38"/>
      </c>
      <c r="V262" s="106">
        <f t="shared" si="35"/>
      </c>
    </row>
    <row r="263" spans="1:22" ht="60" x14ac:dyDescent="0.2">
      <c r="A263" s="4">
        <f>Questions!$A263</f>
      </c>
      <c r="B263" s="4">
        <f t="shared" si="36"/>
      </c>
      <c r="C263" s="4">
        <f>VLOOKUP($A263,Questions!$A$3:$L$333,2,0)&amp;""</f>
      </c>
      <c r="D263" s="4">
        <f>VLOOKUP($A263,Questions!$A$3:$L$333,11,0)&amp;""</f>
      </c>
      <c r="E263" s="4">
        <f>VLOOKUP($A263,Questions!$A$3:$L$333,12,0)&amp;""</f>
      </c>
      <c r="F263" s="4">
        <f>VLOOKUP($A263,'Privacy Analyst Evaluation'!$A$46:$K$120,3,0)&amp;""</f>
      </c>
      <c r="G263" s="4">
        <f>VLOOKUP($A263,'Privacy Analyst Evaluation'!$A$46:$K$120,7,0)&amp;""</f>
      </c>
      <c r="H263" s="4">
        <f>VLOOKUP($A263,'Privacy Analyst Evaluation'!$A$46:$K$120,8,0)&amp;""</f>
      </c>
      <c r="I263" s="4">
        <f>VLOOKUP($A263,'Privacy Analyst Evaluation'!$A$46:$K$120,9,0)&amp;""</f>
      </c>
      <c r="J263" s="4">
        <f>VLOOKUP($A263,'Privacy Analyst Evaluation'!$A$46:$K$120,10,0)&amp;""</f>
      </c>
      <c r="K263" s="4">
        <f>IF($I263='Auto Responses'!$J$11,20,IF($I263='Auto Responses'!$J$13,5,10))</f>
      </c>
      <c r="L263" s="106">
        <f>IF($E263='Auto Responses'!$L$13, 'Auto Responses'!$J$5,IF(AND($D263='Auto Responses'!$J$27,$H263=""),'Auto Responses'!$J$5,IF(AND($D263='Auto Responses'!$J$27,$H263='Auto Responses'!$J$7),1,IF(AND($D263='Auto Responses'!$J$27,$H263='Auto Responses'!$J$8),0,IF(OR(AND($F263=$G263,$H263=""),$H263='Auto Responses'!$J$7),1,0)))))</f>
      </c>
      <c r="M263" s="4">
        <f>VLOOKUP($A263,'Privacy Analyst Evaluation'!$A$46:$K$120,11,0)&amp;""</f>
      </c>
      <c r="N263" s="4">
        <f>IF($J263='Auto Responses'!$J$11,1,IF(AND($J263="",$I263='Auto Responses'!$J$11),1,0))</f>
      </c>
      <c r="O263" s="106">
        <f>IF(OR($E263='Auto Responses'!$L$13,$F$24='Auto Responses'!$J$4,$F263='Auto Responses'!$J$5),'Auto Responses'!$J$5,IF($J263="",$K263,IF($J263='Auto Responses'!$J$13,5,IF($J263='Auto Responses'!$J$12,10,IF($J263='Auto Responses'!$J$11,20,0)))))</f>
      </c>
      <c r="P263" s="106">
        <f>IF(OR($O263='Auto Responses'!$J$5,$L263='Auto Responses'!$J$5),'Auto Responses'!$J$5,$O263*$L263)</f>
      </c>
      <c r="Q263" s="106">
        <f t="shared" si="32"/>
      </c>
      <c r="R263" s="106">
        <f t="shared" si="37"/>
      </c>
      <c r="S263" s="106">
        <f t="shared" si="33"/>
      </c>
      <c r="T263" s="106">
        <f t="shared" si="34"/>
      </c>
      <c r="U263" s="106">
        <f t="shared" si="38"/>
      </c>
      <c r="V263" s="106">
        <f t="shared" si="35"/>
      </c>
    </row>
    <row r="264" spans="1:22" ht="60" x14ac:dyDescent="0.2">
      <c r="A264" s="4">
        <f>Questions!$A264</f>
      </c>
      <c r="B264" s="4">
        <f t="shared" si="36"/>
      </c>
      <c r="C264" s="4">
        <f>VLOOKUP($A264,Questions!$A$3:$L$333,2,0)&amp;""</f>
      </c>
      <c r="D264" s="4">
        <f>VLOOKUP($A264,Questions!$A$3:$L$333,11,0)&amp;""</f>
      </c>
      <c r="E264" s="4">
        <f>VLOOKUP($A264,Questions!$A$3:$L$333,12,0)&amp;""</f>
      </c>
      <c r="F264" s="4">
        <f>VLOOKUP($A264,'Privacy Analyst Evaluation'!$A$46:$K$120,3,0)&amp;""</f>
      </c>
      <c r="G264" s="4">
        <f>VLOOKUP($A264,'Privacy Analyst Evaluation'!$A$46:$K$120,7,0)&amp;""</f>
      </c>
      <c r="H264" s="4">
        <f>VLOOKUP($A264,'Privacy Analyst Evaluation'!$A$46:$K$120,8,0)&amp;""</f>
      </c>
      <c r="I264" s="4">
        <f>VLOOKUP($A264,'Privacy Analyst Evaluation'!$A$46:$K$120,9,0)&amp;""</f>
      </c>
      <c r="J264" s="4">
        <f>VLOOKUP($A264,'Privacy Analyst Evaluation'!$A$46:$K$120,10,0)&amp;""</f>
      </c>
      <c r="K264" s="4">
        <f>IF($I264='Auto Responses'!$J$11,20,IF($I264='Auto Responses'!$J$13,5,10))</f>
      </c>
      <c r="L264" s="106">
        <f>IF($E264='Auto Responses'!$L$13, 'Auto Responses'!$J$5,IF(AND($D264='Auto Responses'!$J$27,$H264=""),'Auto Responses'!$J$5,IF(AND($D264='Auto Responses'!$J$27,$H264='Auto Responses'!$J$7),1,IF(AND($D264='Auto Responses'!$J$27,$H264='Auto Responses'!$J$8),0,IF(OR(AND($F264=$G264,$H264=""),$H264='Auto Responses'!$J$7),1,0)))))</f>
      </c>
      <c r="M264" s="4">
        <f>VLOOKUP($A264,'Privacy Analyst Evaluation'!$A$46:$K$120,11,0)&amp;""</f>
      </c>
      <c r="N264" s="4">
        <f>IF($J264='Auto Responses'!$J$11,1,IF(AND($J264="",$I264='Auto Responses'!$J$11),1,0))</f>
      </c>
      <c r="O264" s="106">
        <f>IF(OR($E264='Auto Responses'!$L$13,$F$24='Auto Responses'!$J$4,$F264='Auto Responses'!$J$5),'Auto Responses'!$J$5,IF($J264="",$K264,IF($J264='Auto Responses'!$J$13,5,IF($J264='Auto Responses'!$J$12,10,IF($J264='Auto Responses'!$J$11,20,0)))))</f>
      </c>
      <c r="P264" s="106">
        <f>IF(OR($O264='Auto Responses'!$J$5,$L264='Auto Responses'!$J$5),'Auto Responses'!$J$5,$O264*$L264)</f>
      </c>
      <c r="Q264" s="106">
        <f t="shared" si="32"/>
      </c>
      <c r="R264" s="106">
        <f t="shared" si="37"/>
      </c>
      <c r="S264" s="106">
        <f t="shared" si="33"/>
      </c>
      <c r="T264" s="106">
        <f t="shared" si="34"/>
      </c>
      <c r="U264" s="106">
        <f t="shared" si="38"/>
      </c>
      <c r="V264" s="106">
        <f t="shared" si="35"/>
      </c>
    </row>
    <row r="265" spans="1:22" ht="60" x14ac:dyDescent="0.2">
      <c r="A265" s="4">
        <f>Questions!$A265</f>
      </c>
      <c r="B265" s="4">
        <f t="shared" si="36"/>
      </c>
      <c r="C265" s="4">
        <f>VLOOKUP($A265,Questions!$A$3:$L$333,2,0)&amp;""</f>
      </c>
      <c r="D265" s="4">
        <f>VLOOKUP($A265,Questions!$A$3:$L$333,11,0)&amp;""</f>
      </c>
      <c r="E265" s="4">
        <f>VLOOKUP($A265,Questions!$A$3:$L$333,12,0)&amp;""</f>
      </c>
      <c r="F265" s="4">
        <f>VLOOKUP($A265,'Privacy Analyst Evaluation'!$A$46:$K$120,3,0)&amp;""</f>
      </c>
      <c r="G265" s="4">
        <f>VLOOKUP($A265,'Privacy Analyst Evaluation'!$A$46:$K$120,7,0)&amp;""</f>
      </c>
      <c r="H265" s="4">
        <f>VLOOKUP($A265,'Privacy Analyst Evaluation'!$A$46:$K$120,8,0)&amp;""</f>
      </c>
      <c r="I265" s="4">
        <f>VLOOKUP($A265,'Privacy Analyst Evaluation'!$A$46:$K$120,9,0)&amp;""</f>
      </c>
      <c r="J265" s="4">
        <f>VLOOKUP($A265,'Privacy Analyst Evaluation'!$A$46:$K$120,10,0)&amp;""</f>
      </c>
      <c r="K265" s="4">
        <f>IF($I265='Auto Responses'!$J$11,20,IF($I265='Auto Responses'!$J$13,5,10))</f>
      </c>
      <c r="L265" s="106">
        <f>IF($E265='Auto Responses'!$L$13, 'Auto Responses'!$J$5,IF(AND($D265='Auto Responses'!$J$27,$H265=""),'Auto Responses'!$J$5,IF(AND($D265='Auto Responses'!$J$27,$H265='Auto Responses'!$J$7),1,IF(AND($D265='Auto Responses'!$J$27,$H265='Auto Responses'!$J$8),0,IF(OR(AND($F265=$G265,$H265=""),$H265='Auto Responses'!$J$7),1,0)))))</f>
      </c>
      <c r="M265" s="4">
        <f>VLOOKUP($A265,'Privacy Analyst Evaluation'!$A$46:$K$120,11,0)&amp;""</f>
      </c>
      <c r="N265" s="4">
        <f>IF($J265='Auto Responses'!$J$11,1,IF(AND($J265="",$I265='Auto Responses'!$J$11),1,0))</f>
      </c>
      <c r="O265" s="106">
        <f>IF(OR($E265='Auto Responses'!$L$13,$F$24='Auto Responses'!$J$4,$F265='Auto Responses'!$J$5),'Auto Responses'!$J$5,IF($J265="",$K265,IF($J265='Auto Responses'!$J$13,5,IF($J265='Auto Responses'!$J$12,10,IF($J265='Auto Responses'!$J$11,20,0)))))</f>
      </c>
      <c r="P265" s="106">
        <f>IF(OR($O265='Auto Responses'!$J$5,$L265='Auto Responses'!$J$5),'Auto Responses'!$J$5,$O265*$L265)</f>
      </c>
      <c r="Q265" s="106">
        <f t="shared" si="32"/>
      </c>
      <c r="R265" s="106">
        <f t="shared" si="37"/>
      </c>
      <c r="S265" s="106">
        <f t="shared" si="33"/>
      </c>
      <c r="T265" s="106">
        <f t="shared" si="34"/>
      </c>
      <c r="U265" s="106">
        <f t="shared" si="38"/>
      </c>
      <c r="V265" s="106">
        <f t="shared" si="35"/>
      </c>
    </row>
    <row r="266" spans="1:22" ht="60" x14ac:dyDescent="0.2">
      <c r="A266" s="4">
        <f>Questions!$A266</f>
      </c>
      <c r="B266" s="4">
        <f t="shared" si="36"/>
      </c>
      <c r="C266" s="4">
        <f>VLOOKUP($A266,Questions!$A$3:$L$333,2,0)&amp;""</f>
      </c>
      <c r="D266" s="4">
        <f>VLOOKUP($A266,Questions!$A$3:$L$333,11,0)&amp;""</f>
      </c>
      <c r="E266" s="4">
        <f>VLOOKUP($A266,Questions!$A$3:$L$333,12,0)&amp;""</f>
      </c>
      <c r="F266" s="4">
        <f>VLOOKUP($A266,'Privacy Analyst Evaluation'!$A$46:$K$120,3,0)&amp;""</f>
      </c>
      <c r="G266" s="4">
        <f>VLOOKUP($A266,'Privacy Analyst Evaluation'!$A$46:$K$120,7,0)&amp;""</f>
      </c>
      <c r="H266" s="4">
        <f>VLOOKUP($A266,'Privacy Analyst Evaluation'!$A$46:$K$120,8,0)&amp;""</f>
      </c>
      <c r="I266" s="4">
        <f>VLOOKUP($A266,'Privacy Analyst Evaluation'!$A$46:$K$120,9,0)&amp;""</f>
      </c>
      <c r="J266" s="4">
        <f>VLOOKUP($A266,'Privacy Analyst Evaluation'!$A$46:$K$120,10,0)&amp;""</f>
      </c>
      <c r="K266" s="4">
        <f>IF($I266='Auto Responses'!$J$11,20,IF($I266='Auto Responses'!$J$13,5,10))</f>
      </c>
      <c r="L266" s="106">
        <f>IF($E266='Auto Responses'!$L$13, 'Auto Responses'!$J$5,IF(AND($D266='Auto Responses'!$J$27,$H266=""),'Auto Responses'!$J$5,IF(AND($D266='Auto Responses'!$J$27,$H266='Auto Responses'!$J$7),1,IF(AND($D266='Auto Responses'!$J$27,$H266='Auto Responses'!$J$8),0,IF(OR(AND($F266=$G266,$H266=""),$H266='Auto Responses'!$J$7),1,0)))))</f>
      </c>
      <c r="M266" s="4">
        <f>VLOOKUP($A266,'Privacy Analyst Evaluation'!$A$46:$K$120,11,0)&amp;""</f>
      </c>
      <c r="N266" s="4">
        <f>IF($J266='Auto Responses'!$J$11,1,IF(AND($J266="",$I266='Auto Responses'!$J$11),1,0))</f>
      </c>
      <c r="O266" s="106">
        <f>IF(OR($E266='Auto Responses'!$L$13,$F$24='Auto Responses'!$J$4,$F266='Auto Responses'!$J$5),'Auto Responses'!$J$5,IF($J266="",$K266,IF($J266='Auto Responses'!$J$13,5,IF($J266='Auto Responses'!$J$12,10,IF($J266='Auto Responses'!$J$11,20,0)))))</f>
      </c>
      <c r="P266" s="106">
        <f>IF(OR($O266='Auto Responses'!$J$5,$L266='Auto Responses'!$J$5),'Auto Responses'!$J$5,$O266*$L266)</f>
      </c>
      <c r="Q266" s="106">
        <f t="shared" si="32"/>
      </c>
      <c r="R266" s="106">
        <f t="shared" si="37"/>
      </c>
      <c r="S266" s="106">
        <f t="shared" si="33"/>
      </c>
      <c r="T266" s="106">
        <f t="shared" si="34"/>
      </c>
      <c r="U266" s="106">
        <f t="shared" si="38"/>
      </c>
      <c r="V266" s="106">
        <f t="shared" si="35"/>
      </c>
    </row>
    <row r="267" spans="1:22" ht="60" x14ac:dyDescent="0.2">
      <c r="A267" s="4">
        <f>Questions!$A267</f>
      </c>
      <c r="B267" s="4">
        <f t="shared" si="36"/>
      </c>
      <c r="C267" s="4">
        <f>VLOOKUP($A267,Questions!$A$3:$L$333,2,0)&amp;""</f>
      </c>
      <c r="D267" s="4">
        <f>VLOOKUP($A267,Questions!$A$3:$L$333,11,0)&amp;""</f>
      </c>
      <c r="E267" s="4">
        <f>VLOOKUP($A267,Questions!$A$3:$L$333,12,0)&amp;""</f>
      </c>
      <c r="F267" s="4">
        <f>VLOOKUP($A267,'Privacy Analyst Evaluation'!$A$46:$K$120,3,0)&amp;""</f>
      </c>
      <c r="G267" s="4">
        <f>VLOOKUP($A267,'Privacy Analyst Evaluation'!$A$46:$K$120,7,0)&amp;""</f>
      </c>
      <c r="H267" s="4">
        <f>VLOOKUP($A267,'Privacy Analyst Evaluation'!$A$46:$K$120,8,0)&amp;""</f>
      </c>
      <c r="I267" s="4">
        <f>VLOOKUP($A267,'Privacy Analyst Evaluation'!$A$46:$K$120,9,0)&amp;""</f>
      </c>
      <c r="J267" s="4">
        <f>VLOOKUP($A267,'Privacy Analyst Evaluation'!$A$46:$K$120,10,0)&amp;""</f>
      </c>
      <c r="K267" s="4">
        <f>IF($I267='Auto Responses'!$J$11,20,IF($I267='Auto Responses'!$J$13,5,10))</f>
      </c>
      <c r="L267" s="106">
        <f>IF($E267='Auto Responses'!$L$13, 'Auto Responses'!$J$5,IF(AND($D267='Auto Responses'!$J$27,$H267=""),'Auto Responses'!$J$5,IF(AND($D267='Auto Responses'!$J$27,$H267='Auto Responses'!$J$7),1,IF(AND($D267='Auto Responses'!$J$27,$H267='Auto Responses'!$J$8),0,IF(OR(AND($F267=$G267,$H267=""),$H267='Auto Responses'!$J$7),1,0)))))</f>
      </c>
      <c r="M267" s="4">
        <f>VLOOKUP($A267,'Privacy Analyst Evaluation'!$A$46:$K$120,11,0)&amp;""</f>
      </c>
      <c r="N267" s="4">
        <f>IF($J267='Auto Responses'!$J$11,1,IF(AND($J267="",$I267='Auto Responses'!$J$11),1,0))</f>
      </c>
      <c r="O267" s="106">
        <f>IF(OR($E267='Auto Responses'!$L$13,$F$24='Auto Responses'!$J$4,$F267='Auto Responses'!$J$5),'Auto Responses'!$J$5,IF($J267="",$K267,IF($J267='Auto Responses'!$J$13,5,IF($J267='Auto Responses'!$J$12,10,IF($J267='Auto Responses'!$J$11,20,0)))))</f>
      </c>
      <c r="P267" s="106">
        <f>IF(OR($O267='Auto Responses'!$J$5,$L267='Auto Responses'!$J$5),'Auto Responses'!$J$5,$O267*$L267)</f>
      </c>
      <c r="Q267" s="106">
        <f t="shared" si="32"/>
      </c>
      <c r="R267" s="106">
        <f t="shared" si="37"/>
      </c>
      <c r="S267" s="106">
        <f t="shared" si="33"/>
      </c>
      <c r="T267" s="106">
        <f t="shared" si="34"/>
      </c>
      <c r="U267" s="106">
        <f t="shared" si="38"/>
      </c>
      <c r="V267" s="106">
        <f t="shared" si="35"/>
      </c>
    </row>
    <row r="268" spans="1:22" ht="60" x14ac:dyDescent="0.2">
      <c r="A268" s="4">
        <f>Questions!$A268</f>
      </c>
      <c r="B268" s="4">
        <f t="shared" si="36"/>
      </c>
      <c r="C268" s="4">
        <f>VLOOKUP($A268,Questions!$A$3:$L$333,2,0)&amp;""</f>
      </c>
      <c r="D268" s="4">
        <f>VLOOKUP($A268,Questions!$A$3:$L$333,11,0)&amp;""</f>
      </c>
      <c r="E268" s="4">
        <f>VLOOKUP($A268,Questions!$A$3:$L$333,12,0)&amp;""</f>
      </c>
      <c r="F268" s="4">
        <f>VLOOKUP($A268,'Privacy Analyst Evaluation'!$A$46:$K$120,3,0)&amp;""</f>
      </c>
      <c r="G268" s="4">
        <f>VLOOKUP($A268,'Privacy Analyst Evaluation'!$A$46:$K$120,7,0)&amp;""</f>
      </c>
      <c r="H268" s="4">
        <f>VLOOKUP($A268,'Privacy Analyst Evaluation'!$A$46:$K$120,8,0)&amp;""</f>
      </c>
      <c r="I268" s="4">
        <f>VLOOKUP($A268,'Privacy Analyst Evaluation'!$A$46:$K$120,9,0)&amp;""</f>
      </c>
      <c r="J268" s="4">
        <f>VLOOKUP($A268,'Privacy Analyst Evaluation'!$A$46:$K$120,10,0)&amp;""</f>
      </c>
      <c r="K268" s="4">
        <f>IF($I268='Auto Responses'!$J$11,20,IF($I268='Auto Responses'!$J$13,5,10))</f>
      </c>
      <c r="L268" s="106">
        <f>IF($E268='Auto Responses'!$L$13, 'Auto Responses'!$J$5,IF(AND($D268='Auto Responses'!$J$27,$H268=""),'Auto Responses'!$J$5,IF(AND($D268='Auto Responses'!$J$27,$H268='Auto Responses'!$J$7),1,IF(AND($D268='Auto Responses'!$J$27,$H268='Auto Responses'!$J$8),0,IF(OR(AND($F268=$G268,$H268=""),$H268='Auto Responses'!$J$7),1,0)))))</f>
      </c>
      <c r="M268" s="4">
        <f>VLOOKUP($A268,'Privacy Analyst Evaluation'!$A$46:$K$120,11,0)&amp;""</f>
      </c>
      <c r="N268" s="4">
        <f>IF($J268='Auto Responses'!$J$11,1,IF(AND($J268="",$I268='Auto Responses'!$J$11),1,0))</f>
      </c>
      <c r="O268" s="106">
        <f>IF(OR($E268='Auto Responses'!$L$13,$F$24='Auto Responses'!$J$4,$F268='Auto Responses'!$J$5),'Auto Responses'!$J$5,IF($J268="",$K268,IF($J268='Auto Responses'!$J$13,5,IF($J268='Auto Responses'!$J$12,10,IF($J268='Auto Responses'!$J$11,20,0)))))</f>
      </c>
      <c r="P268" s="106">
        <f>IF(OR($O268='Auto Responses'!$J$5,$L268='Auto Responses'!$J$5),'Auto Responses'!$J$5,$O268*$L268)</f>
      </c>
      <c r="Q268" s="106">
        <f t="shared" si="32"/>
      </c>
      <c r="R268" s="106">
        <f t="shared" si="37"/>
      </c>
      <c r="S268" s="106">
        <f t="shared" si="33"/>
      </c>
      <c r="T268" s="106">
        <f t="shared" si="34"/>
      </c>
      <c r="U268" s="106">
        <f t="shared" si="38"/>
      </c>
      <c r="V268" s="106">
        <f t="shared" si="35"/>
      </c>
    </row>
    <row r="269" spans="1:22" ht="60" x14ac:dyDescent="0.2">
      <c r="A269" s="4">
        <f>Questions!$A269</f>
      </c>
      <c r="B269" s="4">
        <f t="shared" si="36"/>
      </c>
      <c r="C269" s="4">
        <f>VLOOKUP($A269,Questions!$A$3:$L$333,2,0)&amp;""</f>
      </c>
      <c r="D269" s="4">
        <f>VLOOKUP($A269,Questions!$A$3:$L$333,11,0)&amp;""</f>
      </c>
      <c r="E269" s="4">
        <f>VLOOKUP($A269,Questions!$A$3:$L$333,12,0)&amp;""</f>
      </c>
      <c r="F269" s="4">
        <f>VLOOKUP($A269,'Privacy Analyst Evaluation'!$A$46:$K$120,3,0)&amp;""</f>
      </c>
      <c r="G269" s="4">
        <f>VLOOKUP($A269,'Privacy Analyst Evaluation'!$A$46:$K$120,7,0)&amp;""</f>
      </c>
      <c r="H269" s="4">
        <f>VLOOKUP($A269,'Privacy Analyst Evaluation'!$A$46:$K$120,8,0)&amp;""</f>
      </c>
      <c r="I269" s="4">
        <f>VLOOKUP($A269,'Privacy Analyst Evaluation'!$A$46:$K$120,9,0)&amp;""</f>
      </c>
      <c r="J269" s="4">
        <f>VLOOKUP($A269,'Privacy Analyst Evaluation'!$A$46:$K$120,10,0)&amp;""</f>
      </c>
      <c r="K269" s="4">
        <f>IF($I269='Auto Responses'!$J$11,20,IF($I269='Auto Responses'!$J$13,5,10))</f>
      </c>
      <c r="L269" s="106">
        <f>IF($E269='Auto Responses'!$L$13, 'Auto Responses'!$J$5,IF(AND($D269='Auto Responses'!$J$27,$H269=""),'Auto Responses'!$J$5,IF(AND($D269='Auto Responses'!$J$27,$H269='Auto Responses'!$J$7),1,IF(AND($D269='Auto Responses'!$J$27,$H269='Auto Responses'!$J$8),0,IF(OR(AND($F269=$G269,$H269=""),$H269='Auto Responses'!$J$7),1,0)))))</f>
      </c>
      <c r="M269" s="4">
        <f>VLOOKUP($A269,'Privacy Analyst Evaluation'!$A$46:$K$120,11,0)&amp;""</f>
      </c>
      <c r="N269" s="4">
        <f>IF($J269='Auto Responses'!$J$11,1,IF(AND($J269="",$I269='Auto Responses'!$J$11),1,0))</f>
      </c>
      <c r="O269" s="106">
        <f>IF(OR($E269='Auto Responses'!$L$13,$F$24='Auto Responses'!$J$4,$F269='Auto Responses'!$J$5),'Auto Responses'!$J$5,IF($J269="",$K269,IF($J269='Auto Responses'!$J$13,5,IF($J269='Auto Responses'!$J$12,10,IF($J269='Auto Responses'!$J$11,20,0)))))</f>
      </c>
      <c r="P269" s="106">
        <f>IF(OR($O269='Auto Responses'!$J$5,$L269='Auto Responses'!$J$5),'Auto Responses'!$J$5,$O269*$L269)</f>
      </c>
      <c r="Q269" s="106">
        <f t="shared" si="32"/>
      </c>
      <c r="R269" s="106">
        <f t="shared" si="37"/>
      </c>
      <c r="S269" s="106">
        <f t="shared" si="33"/>
      </c>
      <c r="T269" s="106">
        <f t="shared" si="34"/>
      </c>
      <c r="U269" s="106">
        <f t="shared" si="38"/>
      </c>
      <c r="V269" s="106">
        <f t="shared" si="35"/>
      </c>
    </row>
    <row r="270" spans="1:22" ht="60" x14ac:dyDescent="0.2">
      <c r="A270" s="4">
        <f>Questions!$A270</f>
      </c>
      <c r="B270" s="4">
        <f t="shared" si="36"/>
      </c>
      <c r="C270" s="4">
        <f>VLOOKUP($A270,Questions!$A$3:$L$333,2,0)&amp;""</f>
      </c>
      <c r="D270" s="4">
        <f>VLOOKUP($A270,Questions!$A$3:$L$333,11,0)&amp;""</f>
      </c>
      <c r="E270" s="4">
        <f>VLOOKUP($A270,Questions!$A$3:$L$333,12,0)&amp;""</f>
      </c>
      <c r="F270" s="4">
        <f>VLOOKUP($A270,'Privacy Analyst Evaluation'!$A$46:$K$120,3,0)&amp;""</f>
      </c>
      <c r="G270" s="4">
        <f>VLOOKUP($A270,'Privacy Analyst Evaluation'!$A$46:$K$120,7,0)&amp;""</f>
      </c>
      <c r="H270" s="4">
        <f>VLOOKUP($A270,'Privacy Analyst Evaluation'!$A$46:$K$120,8,0)&amp;""</f>
      </c>
      <c r="I270" s="4">
        <f>VLOOKUP($A270,'Privacy Analyst Evaluation'!$A$46:$K$120,9,0)&amp;""</f>
      </c>
      <c r="J270" s="4">
        <f>VLOOKUP($A270,'Privacy Analyst Evaluation'!$A$46:$K$120,10,0)&amp;""</f>
      </c>
      <c r="K270" s="4">
        <f>IF($I270='Auto Responses'!$J$11,20,IF($I270='Auto Responses'!$J$13,5,10))</f>
      </c>
      <c r="L270" s="106">
        <f>IF($E270='Auto Responses'!$L$13, 'Auto Responses'!$J$5,IF(AND($D270='Auto Responses'!$J$27,$H270=""),'Auto Responses'!$J$5,IF(AND($D270='Auto Responses'!$J$27,$H270='Auto Responses'!$J$7),1,IF(AND($D270='Auto Responses'!$J$27,$H270='Auto Responses'!$J$8),0,IF(OR(AND($F270=$G270,$H270=""),$H270='Auto Responses'!$J$7),1,0)))))</f>
      </c>
      <c r="M270" s="4">
        <f>VLOOKUP($A270,'Privacy Analyst Evaluation'!$A$46:$K$120,11,0)&amp;""</f>
      </c>
      <c r="N270" s="4">
        <f>IF($J270='Auto Responses'!$J$11,1,IF(AND($J270="",$I270='Auto Responses'!$J$11),1,0))</f>
      </c>
      <c r="O270" s="106">
        <f>IF(OR($E270='Auto Responses'!$L$13,$F$24='Auto Responses'!$J$4,$F270='Auto Responses'!$J$5),'Auto Responses'!$J$5,IF($J270="",$K270,IF($J270='Auto Responses'!$J$13,5,IF($J270='Auto Responses'!$J$12,10,IF($J270='Auto Responses'!$J$11,20,0)))))</f>
      </c>
      <c r="P270" s="106">
        <f>IF(OR($O270='Auto Responses'!$J$5,$L270='Auto Responses'!$J$5),'Auto Responses'!$J$5,$O270*$L270)</f>
      </c>
      <c r="Q270" s="106">
        <f t="shared" si="32"/>
      </c>
      <c r="R270" s="106">
        <f t="shared" si="37"/>
      </c>
      <c r="S270" s="106">
        <f t="shared" si="33"/>
      </c>
      <c r="T270" s="106">
        <f t="shared" si="34"/>
      </c>
      <c r="U270" s="106">
        <f t="shared" si="38"/>
      </c>
      <c r="V270" s="106">
        <f t="shared" si="35"/>
      </c>
    </row>
    <row r="271" spans="1:22" ht="60" x14ac:dyDescent="0.2">
      <c r="A271" s="4">
        <f>Questions!$A271</f>
      </c>
      <c r="B271" s="4">
        <f t="shared" si="36"/>
      </c>
      <c r="C271" s="4">
        <f>VLOOKUP($A271,Questions!$A$3:$L$333,2,0)&amp;""</f>
      </c>
      <c r="D271" s="4">
        <f>VLOOKUP($A271,Questions!$A$3:$L$333,11,0)&amp;""</f>
      </c>
      <c r="E271" s="4">
        <f>VLOOKUP($A271,Questions!$A$3:$L$333,12,0)&amp;""</f>
      </c>
      <c r="F271" s="4">
        <f>VLOOKUP($A271,'Privacy Analyst Evaluation'!$A$46:$K$120,3,0)&amp;""</f>
      </c>
      <c r="G271" s="4">
        <f>VLOOKUP($A271,'Privacy Analyst Evaluation'!$A$46:$K$120,7,0)&amp;""</f>
      </c>
      <c r="H271" s="4">
        <f>VLOOKUP($A271,'Privacy Analyst Evaluation'!$A$46:$K$120,8,0)&amp;""</f>
      </c>
      <c r="I271" s="4">
        <f>VLOOKUP($A271,'Privacy Analyst Evaluation'!$A$46:$K$120,9,0)&amp;""</f>
      </c>
      <c r="J271" s="4">
        <f>VLOOKUP($A271,'Privacy Analyst Evaluation'!$A$46:$K$120,10,0)&amp;""</f>
      </c>
      <c r="K271" s="4">
        <f>IF($I271='Auto Responses'!$J$11,20,IF($I271='Auto Responses'!$J$13,5,10))</f>
      </c>
      <c r="L271" s="106">
        <f>IF($E271='Auto Responses'!$L$13, 'Auto Responses'!$J$5,IF(AND($D271='Auto Responses'!$J$27,$H271=""),'Auto Responses'!$J$5,IF(AND($D271='Auto Responses'!$J$27,$H271='Auto Responses'!$J$7),1,IF(AND($D271='Auto Responses'!$J$27,$H271='Auto Responses'!$J$8),0,IF(OR(AND($F271=$G271,$H271=""),$H271='Auto Responses'!$J$7),1,0)))))</f>
      </c>
      <c r="M271" s="4">
        <f>VLOOKUP($A271,'Privacy Analyst Evaluation'!$A$46:$K$120,11,0)&amp;""</f>
      </c>
      <c r="N271" s="4">
        <f>IF($J271='Auto Responses'!$J$11,1,IF(AND($J271="",$I271='Auto Responses'!$J$11),1,0))</f>
      </c>
      <c r="O271" s="106">
        <f>IF(OR($E271='Auto Responses'!$L$13,$F$24='Auto Responses'!$J$4,$F271='Auto Responses'!$J$5),'Auto Responses'!$J$5,IF($J271="",$K271,IF($J271='Auto Responses'!$J$13,5,IF($J271='Auto Responses'!$J$12,10,IF($J271='Auto Responses'!$J$11,20,0)))))</f>
      </c>
      <c r="P271" s="106">
        <f>IF(OR($O271='Auto Responses'!$J$5,$L271='Auto Responses'!$J$5),'Auto Responses'!$J$5,$O271*$L271)</f>
      </c>
      <c r="Q271" s="106">
        <f t="shared" si="32"/>
      </c>
      <c r="R271" s="106">
        <f t="shared" si="37"/>
      </c>
      <c r="S271" s="106">
        <f t="shared" si="33"/>
      </c>
      <c r="T271" s="106">
        <f t="shared" si="34"/>
      </c>
      <c r="U271" s="106">
        <f t="shared" si="38"/>
      </c>
      <c r="V271" s="106">
        <f t="shared" si="35"/>
      </c>
    </row>
    <row r="272" spans="1:22" ht="60" x14ac:dyDescent="0.2">
      <c r="A272" s="4">
        <f>Questions!$A272</f>
      </c>
      <c r="B272" s="4">
        <f t="shared" si="36"/>
      </c>
      <c r="C272" s="4">
        <f>VLOOKUP($A272,Questions!$A$3:$L$333,2,0)&amp;""</f>
      </c>
      <c r="D272" s="4">
        <f>VLOOKUP($A272,Questions!$A$3:$L$333,11,0)&amp;""</f>
      </c>
      <c r="E272" s="4">
        <f>VLOOKUP($A272,Questions!$A$3:$L$333,12,0)&amp;""</f>
      </c>
      <c r="F272" s="4">
        <f>VLOOKUP($A272,'Privacy Analyst Evaluation'!$A$46:$K$120,3,0)&amp;""</f>
      </c>
      <c r="G272" s="4">
        <f>VLOOKUP($A272,'Privacy Analyst Evaluation'!$A$46:$K$120,7,0)&amp;""</f>
      </c>
      <c r="H272" s="4">
        <f>VLOOKUP($A272,'Privacy Analyst Evaluation'!$A$46:$K$120,8,0)&amp;""</f>
      </c>
      <c r="I272" s="4">
        <f>VLOOKUP($A272,'Privacy Analyst Evaluation'!$A$46:$K$120,9,0)&amp;""</f>
      </c>
      <c r="J272" s="4">
        <f>VLOOKUP($A272,'Privacy Analyst Evaluation'!$A$46:$K$120,10,0)&amp;""</f>
      </c>
      <c r="K272" s="4">
        <f>IF($I272='Auto Responses'!$J$11,20,IF($I272='Auto Responses'!$J$13,5,10))</f>
      </c>
      <c r="L272" s="106">
        <f>IF($E272='Auto Responses'!$L$13, 'Auto Responses'!$J$5,IF(AND($D272='Auto Responses'!$J$27,$H272=""),'Auto Responses'!$J$5,IF(AND($D272='Auto Responses'!$J$27,$H272='Auto Responses'!$J$7),1,IF(AND($D272='Auto Responses'!$J$27,$H272='Auto Responses'!$J$8),0,IF(OR(AND($F272=$G272,$H272=""),$H272='Auto Responses'!$J$7),1,0)))))</f>
      </c>
      <c r="M272" s="4">
        <f>VLOOKUP($A272,'Privacy Analyst Evaluation'!$A$46:$K$120,11,0)&amp;""</f>
      </c>
      <c r="N272" s="4">
        <f>IF($J272='Auto Responses'!$J$11,1,IF(AND($J272="",$I272='Auto Responses'!$J$11),1,0))</f>
      </c>
      <c r="O272" s="106">
        <f>IF(OR($E272='Auto Responses'!$L$13,$F$24='Auto Responses'!$J$4,$F272='Auto Responses'!$J$5),'Auto Responses'!$J$5,IF($J272="",$K272,IF($J272='Auto Responses'!$J$13,5,IF($J272='Auto Responses'!$J$12,10,IF($J272='Auto Responses'!$J$11,20,0)))))</f>
      </c>
      <c r="P272" s="106">
        <f>IF(OR($O272='Auto Responses'!$J$5,$L272='Auto Responses'!$J$5),'Auto Responses'!$J$5,$O272*$L272)</f>
      </c>
      <c r="Q272" s="106">
        <f t="shared" si="32"/>
      </c>
      <c r="R272" s="106">
        <f t="shared" si="37"/>
      </c>
      <c r="S272" s="106">
        <f t="shared" si="33"/>
      </c>
      <c r="T272" s="106">
        <f t="shared" si="34"/>
      </c>
      <c r="U272" s="106">
        <f t="shared" si="38"/>
      </c>
      <c r="V272" s="106">
        <f t="shared" si="35"/>
      </c>
    </row>
    <row r="273" spans="1:22" ht="60" x14ac:dyDescent="0.2">
      <c r="A273" s="4">
        <f>Questions!$A273</f>
      </c>
      <c r="B273" s="4">
        <f t="shared" si="36"/>
      </c>
      <c r="C273" s="4">
        <f>VLOOKUP($A273,Questions!$A$3:$L$333,2,0)&amp;""</f>
      </c>
      <c r="D273" s="4">
        <f>VLOOKUP($A273,Questions!$A$3:$L$333,11,0)&amp;""</f>
      </c>
      <c r="E273" s="4">
        <f>VLOOKUP($A273,Questions!$A$3:$L$333,12,0)&amp;""</f>
      </c>
      <c r="F273" s="4">
        <f>VLOOKUP($A273,'Privacy Analyst Evaluation'!$A$46:$K$120,3,0)&amp;""</f>
      </c>
      <c r="G273" s="4">
        <f>VLOOKUP($A273,'Privacy Analyst Evaluation'!$A$46:$K$120,7,0)&amp;""</f>
      </c>
      <c r="H273" s="4">
        <f>VLOOKUP($A273,'Privacy Analyst Evaluation'!$A$46:$K$120,8,0)&amp;""</f>
      </c>
      <c r="I273" s="4">
        <f>VLOOKUP($A273,'Privacy Analyst Evaluation'!$A$46:$K$120,9,0)&amp;""</f>
      </c>
      <c r="J273" s="4">
        <f>VLOOKUP($A273,'Privacy Analyst Evaluation'!$A$46:$K$120,10,0)&amp;""</f>
      </c>
      <c r="K273" s="4">
        <f>IF($I273='Auto Responses'!$J$11,20,IF($I273='Auto Responses'!$J$13,5,10))</f>
      </c>
      <c r="L273" s="106">
        <f>IF($E273='Auto Responses'!$L$13, 'Auto Responses'!$J$5,IF(AND($D273='Auto Responses'!$J$27,$H273=""),'Auto Responses'!$J$5,IF(AND($D273='Auto Responses'!$J$27,$H273='Auto Responses'!$J$7),1,IF(AND($D273='Auto Responses'!$J$27,$H273='Auto Responses'!$J$8),0,IF(OR(AND($F273=$G273,$H273=""),$H273='Auto Responses'!$J$7),1,0)))))</f>
      </c>
      <c r="M273" s="4">
        <f>VLOOKUP($A273,'Privacy Analyst Evaluation'!$A$46:$K$120,11,0)&amp;""</f>
      </c>
      <c r="N273" s="4">
        <f>IF($J273='Auto Responses'!$J$11,1,IF(AND($J273="",$I273='Auto Responses'!$J$11),1,0))</f>
      </c>
      <c r="O273" s="106">
        <f>IF(OR($E273='Auto Responses'!$L$13,$F$24='Auto Responses'!$J$4,$F273='Auto Responses'!$J$5),'Auto Responses'!$J$5,IF($J273="",$K273,IF($J273='Auto Responses'!$J$13,5,IF($J273='Auto Responses'!$J$12,10,IF($J273='Auto Responses'!$J$11,20,0)))))</f>
      </c>
      <c r="P273" s="106">
        <f>IF(OR($O273='Auto Responses'!$J$5,$L273='Auto Responses'!$J$5),'Auto Responses'!$J$5,$O273*$L273)</f>
      </c>
      <c r="Q273" s="106">
        <f t="shared" si="32"/>
      </c>
      <c r="R273" s="106">
        <f t="shared" si="37"/>
      </c>
      <c r="S273" s="106">
        <f t="shared" si="33"/>
      </c>
      <c r="T273" s="106">
        <f t="shared" si="34"/>
      </c>
      <c r="U273" s="106">
        <f t="shared" si="38"/>
      </c>
      <c r="V273" s="106">
        <f t="shared" si="35"/>
      </c>
    </row>
    <row r="274" spans="1:22" ht="60" x14ac:dyDescent="0.2">
      <c r="A274" s="4">
        <f>Questions!$A274</f>
      </c>
      <c r="B274" s="4">
        <f t="shared" si="36"/>
      </c>
      <c r="C274" s="4">
        <f>VLOOKUP($A274,Questions!$A$3:$L$333,2,0)&amp;""</f>
      </c>
      <c r="D274" s="4">
        <f>VLOOKUP($A274,Questions!$A$3:$L$333,11,0)&amp;""</f>
      </c>
      <c r="E274" s="4">
        <f>VLOOKUP($A274,Questions!$A$3:$L$333,12,0)&amp;""</f>
      </c>
      <c r="F274" s="4">
        <f>VLOOKUP($A274,'Privacy Analyst Evaluation'!$A$46:$K$120,3,0)&amp;""</f>
      </c>
      <c r="G274" s="4">
        <f>VLOOKUP($A274,'Privacy Analyst Evaluation'!$A$46:$K$120,7,0)&amp;""</f>
      </c>
      <c r="H274" s="4">
        <f>VLOOKUP($A274,'Privacy Analyst Evaluation'!$A$46:$K$120,8,0)&amp;""</f>
      </c>
      <c r="I274" s="4">
        <f>VLOOKUP($A274,'Privacy Analyst Evaluation'!$A$46:$K$120,9,0)&amp;""</f>
      </c>
      <c r="J274" s="4">
        <f>VLOOKUP($A274,'Privacy Analyst Evaluation'!$A$46:$K$120,10,0)&amp;""</f>
      </c>
      <c r="K274" s="4">
        <f>IF($I274='Auto Responses'!$J$11,20,IF($I274='Auto Responses'!$J$13,5,10))</f>
      </c>
      <c r="L274" s="106">
        <f>IF($E274='Auto Responses'!$L$13, 'Auto Responses'!$J$5,IF(AND($D274='Auto Responses'!$J$27,$H274=""),'Auto Responses'!$J$5,IF(AND($D274='Auto Responses'!$J$27,$H274='Auto Responses'!$J$7),1,IF(AND($D274='Auto Responses'!$J$27,$H274='Auto Responses'!$J$8),0,IF(OR(AND($F274=$G274,$H274=""),$H274='Auto Responses'!$J$7),1,0)))))</f>
      </c>
      <c r="M274" s="4">
        <f>VLOOKUP($A274,'Privacy Analyst Evaluation'!$A$46:$K$120,11,0)&amp;""</f>
      </c>
      <c r="N274" s="4">
        <f>IF($J274='Auto Responses'!$J$11,1,IF(AND($J274="",$I274='Auto Responses'!$J$11),1,0))</f>
      </c>
      <c r="O274" s="106">
        <f>IF(OR($E274='Auto Responses'!$L$13,$F$24='Auto Responses'!$J$4,$F274='Auto Responses'!$J$5),'Auto Responses'!$J$5,IF($J274="",$K274,IF($J274='Auto Responses'!$J$13,5,IF($J274='Auto Responses'!$J$12,10,IF($J274='Auto Responses'!$J$11,20,0)))))</f>
      </c>
      <c r="P274" s="106">
        <f>IF(OR($O274='Auto Responses'!$J$5,$L274='Auto Responses'!$J$5),'Auto Responses'!$J$5,$O274*$L274)</f>
      </c>
      <c r="Q274" s="106">
        <f t="shared" si="32"/>
      </c>
      <c r="R274" s="106">
        <f t="shared" si="37"/>
      </c>
      <c r="S274" s="106">
        <f t="shared" si="33"/>
      </c>
      <c r="T274" s="106">
        <f t="shared" si="34"/>
      </c>
      <c r="U274" s="106">
        <f t="shared" si="38"/>
      </c>
      <c r="V274" s="106">
        <f t="shared" si="35"/>
      </c>
    </row>
    <row r="275" spans="1:22" ht="60" x14ac:dyDescent="0.2">
      <c r="A275" s="4">
        <f>Questions!$A275</f>
      </c>
      <c r="B275" s="4">
        <f t="shared" si="36"/>
      </c>
      <c r="C275" s="4">
        <f>VLOOKUP($A275,Questions!$A$3:$L$333,2,0)&amp;""</f>
      </c>
      <c r="D275" s="4">
        <f>VLOOKUP($A275,Questions!$A$3:$L$333,11,0)&amp;""</f>
      </c>
      <c r="E275" s="4">
        <f>VLOOKUP($A275,Questions!$A$3:$L$333,12,0)&amp;""</f>
      </c>
      <c r="F275" s="4">
        <f>VLOOKUP($A275,'Privacy Analyst Evaluation'!$A$46:$K$120,3,0)&amp;""</f>
      </c>
      <c r="G275" s="4">
        <f>VLOOKUP($A275,'Privacy Analyst Evaluation'!$A$46:$K$120,7,0)&amp;""</f>
      </c>
      <c r="H275" s="4">
        <f>VLOOKUP($A275,'Privacy Analyst Evaluation'!$A$46:$K$120,8,0)&amp;""</f>
      </c>
      <c r="I275" s="4">
        <f>VLOOKUP($A275,'Privacy Analyst Evaluation'!$A$46:$K$120,9,0)&amp;""</f>
      </c>
      <c r="J275" s="4">
        <f>VLOOKUP($A275,'Privacy Analyst Evaluation'!$A$46:$K$120,10,0)&amp;""</f>
      </c>
      <c r="K275" s="4">
        <f>IF($I275='Auto Responses'!$J$11,20,IF($I275='Auto Responses'!$J$13,5,10))</f>
      </c>
      <c r="L275" s="106">
        <f>IF($E275='Auto Responses'!$L$13, 'Auto Responses'!$J$5,IF(AND($D275='Auto Responses'!$J$27,$H275=""),'Auto Responses'!$J$5,IF(AND($D275='Auto Responses'!$J$27,$H275='Auto Responses'!$J$7),1,IF(AND($D275='Auto Responses'!$J$27,$H275='Auto Responses'!$J$8),0,IF(OR(AND($F275=$G275,$H275=""),$H275='Auto Responses'!$J$7),1,0)))))</f>
      </c>
      <c r="M275" s="4">
        <f>VLOOKUP($A275,'Privacy Analyst Evaluation'!$A$46:$K$120,11,0)&amp;""</f>
      </c>
      <c r="N275" s="4">
        <f>IF($J275='Auto Responses'!$J$11,1,IF(AND($J275="",$I275='Auto Responses'!$J$11),1,0))</f>
      </c>
      <c r="O275" s="106">
        <f>IF(OR($E275='Auto Responses'!$L$13,$F$24='Auto Responses'!$J$4,$F275='Auto Responses'!$J$5),'Auto Responses'!$J$5,IF($J275="",$K275,IF($J275='Auto Responses'!$J$13,5,IF($J275='Auto Responses'!$J$12,10,IF($J275='Auto Responses'!$J$11,20,0)))))</f>
      </c>
      <c r="P275" s="106">
        <f>IF(OR($O275='Auto Responses'!$J$5,$L275='Auto Responses'!$J$5),'Auto Responses'!$J$5,$O275*$L275)</f>
      </c>
      <c r="Q275" s="106">
        <f t="shared" si="32"/>
      </c>
      <c r="R275" s="106">
        <f t="shared" si="37"/>
      </c>
      <c r="S275" s="106">
        <f t="shared" si="33"/>
      </c>
      <c r="T275" s="106">
        <f t="shared" si="34"/>
      </c>
      <c r="U275" s="106">
        <f t="shared" si="38"/>
      </c>
      <c r="V275" s="106">
        <f t="shared" si="35"/>
      </c>
    </row>
    <row r="276" spans="1:22" ht="60" x14ac:dyDescent="0.2">
      <c r="A276" s="4">
        <f>Questions!$A276</f>
      </c>
      <c r="B276" s="4">
        <f t="shared" si="36"/>
      </c>
      <c r="C276" s="4">
        <f>VLOOKUP($A276,Questions!$A$3:$L$333,2,0)&amp;""</f>
      </c>
      <c r="D276" s="4">
        <f>VLOOKUP($A276,Questions!$A$3:$L$333,11,0)&amp;""</f>
      </c>
      <c r="E276" s="4">
        <f>VLOOKUP($A276,Questions!$A$3:$L$333,12,0)&amp;""</f>
      </c>
      <c r="F276" s="4">
        <f>VLOOKUP($A276,'Privacy Analyst Evaluation'!$A$46:$K$120,3,0)&amp;""</f>
      </c>
      <c r="G276" s="4">
        <f>VLOOKUP($A276,'Privacy Analyst Evaluation'!$A$46:$K$120,7,0)&amp;""</f>
      </c>
      <c r="H276" s="4">
        <f>VLOOKUP($A276,'Privacy Analyst Evaluation'!$A$46:$K$120,8,0)&amp;""</f>
      </c>
      <c r="I276" s="4">
        <f>VLOOKUP($A276,'Privacy Analyst Evaluation'!$A$46:$K$120,9,0)&amp;""</f>
      </c>
      <c r="J276" s="4">
        <f>VLOOKUP($A276,'Privacy Analyst Evaluation'!$A$46:$K$120,10,0)&amp;""</f>
      </c>
      <c r="K276" s="4">
        <f>IF($I276='Auto Responses'!$J$11,20,IF($I276='Auto Responses'!$J$13,5,10))</f>
      </c>
      <c r="L276" s="106">
        <f>IF($E276='Auto Responses'!$L$13, 'Auto Responses'!$J$5,IF(AND($D276='Auto Responses'!$J$27,$H276=""),'Auto Responses'!$J$5,IF(AND($D276='Auto Responses'!$J$27,$H276='Auto Responses'!$J$7),1,IF(AND($D276='Auto Responses'!$J$27,$H276='Auto Responses'!$J$8),0,IF(OR(AND($F276=$G276,$H276=""),$H276='Auto Responses'!$J$7),1,0)))))</f>
      </c>
      <c r="M276" s="4">
        <f>VLOOKUP($A276,'Privacy Analyst Evaluation'!$A$46:$K$120,11,0)&amp;""</f>
      </c>
      <c r="N276" s="4">
        <f>IF($J276='Auto Responses'!$J$11,1,IF(AND($J276="",$I276='Auto Responses'!$J$11),1,0))</f>
      </c>
      <c r="O276" s="106">
        <f>IF(OR($E276='Auto Responses'!$L$13,$F$24='Auto Responses'!$J$4,$F276='Auto Responses'!$J$5),'Auto Responses'!$J$5,IF($J276="",$K276,IF($J276='Auto Responses'!$J$13,5,IF($J276='Auto Responses'!$J$12,10,IF($J276='Auto Responses'!$J$11,20,0)))))</f>
      </c>
      <c r="P276" s="106">
        <f>IF(OR($O276='Auto Responses'!$J$5,$L276='Auto Responses'!$J$5),'Auto Responses'!$J$5,$O276*$L276)</f>
      </c>
      <c r="Q276" s="106">
        <f t="shared" si="32"/>
      </c>
      <c r="R276" s="106">
        <f t="shared" si="37"/>
      </c>
      <c r="S276" s="106">
        <f t="shared" si="33"/>
      </c>
      <c r="T276" s="106">
        <f t="shared" si="34"/>
      </c>
      <c r="U276" s="106">
        <f t="shared" si="38"/>
      </c>
      <c r="V276" s="106">
        <f t="shared" si="35"/>
      </c>
    </row>
    <row r="277" spans="1:22" ht="60" x14ac:dyDescent="0.2">
      <c r="A277" s="4">
        <f>Questions!$A277</f>
      </c>
      <c r="B277" s="4">
        <f t="shared" si="36"/>
      </c>
      <c r="C277" s="4">
        <f>VLOOKUP($A277,Questions!$A$3:$L$333,2,0)&amp;""</f>
      </c>
      <c r="D277" s="4">
        <f>VLOOKUP($A277,Questions!$A$3:$L$333,11,0)&amp;""</f>
      </c>
      <c r="E277" s="4">
        <f>VLOOKUP($A277,Questions!$A$3:$L$333,12,0)&amp;""</f>
      </c>
      <c r="F277" s="4">
        <f>VLOOKUP($A277,'Privacy Analyst Evaluation'!$A$46:$K$120,3,0)&amp;""</f>
      </c>
      <c r="G277" s="4">
        <f>VLOOKUP($A277,'Privacy Analyst Evaluation'!$A$46:$K$120,7,0)&amp;""</f>
      </c>
      <c r="H277" s="4">
        <f>VLOOKUP($A277,'Privacy Analyst Evaluation'!$A$46:$K$120,8,0)&amp;""</f>
      </c>
      <c r="I277" s="4">
        <f>VLOOKUP($A277,'Privacy Analyst Evaluation'!$A$46:$K$120,9,0)&amp;""</f>
      </c>
      <c r="J277" s="4">
        <f>VLOOKUP($A277,'Privacy Analyst Evaluation'!$A$46:$K$120,10,0)&amp;""</f>
      </c>
      <c r="K277" s="4">
        <f>IF($I277='Auto Responses'!$J$11,20,IF($I277='Auto Responses'!$J$13,5,10))</f>
      </c>
      <c r="L277" s="106">
        <f>IF($E277='Auto Responses'!$L$13, 'Auto Responses'!$J$5,IF(AND($D277='Auto Responses'!$J$27,$H277=""),'Auto Responses'!$J$5,IF(AND($D277='Auto Responses'!$J$27,$H277='Auto Responses'!$J$7),1,IF(AND($D277='Auto Responses'!$J$27,$H277='Auto Responses'!$J$8),0,IF(OR(AND($F277=$G277,$H277=""),$H277='Auto Responses'!$J$7),1,0)))))</f>
      </c>
      <c r="M277" s="4">
        <f>VLOOKUP($A277,'Privacy Analyst Evaluation'!$A$46:$K$120,11,0)&amp;""</f>
      </c>
      <c r="N277" s="4">
        <f>IF($J277='Auto Responses'!$J$11,1,IF(AND($J277="",$I277='Auto Responses'!$J$11),1,0))</f>
      </c>
      <c r="O277" s="106">
        <f>IF(OR($E277='Auto Responses'!$L$13,$F$24='Auto Responses'!$J$4,$F277='Auto Responses'!$J$5),'Auto Responses'!$J$5,IF($J277="",$K277,IF($J277='Auto Responses'!$J$13,5,IF($J277='Auto Responses'!$J$12,10,IF($J277='Auto Responses'!$J$11,20,0)))))</f>
      </c>
      <c r="P277" s="106">
        <f>IF(OR($O277='Auto Responses'!$J$5,$L277='Auto Responses'!$J$5),'Auto Responses'!$J$5,$O277*$L277)</f>
      </c>
      <c r="Q277" s="106">
        <f t="shared" si="32"/>
      </c>
      <c r="R277" s="106">
        <f t="shared" si="37"/>
      </c>
      <c r="S277" s="106">
        <f t="shared" si="33"/>
      </c>
      <c r="T277" s="106">
        <f t="shared" si="34"/>
      </c>
      <c r="U277" s="106">
        <f t="shared" si="38"/>
      </c>
      <c r="V277" s="106">
        <f t="shared" si="35"/>
      </c>
    </row>
    <row r="278" spans="1:22" ht="60" x14ac:dyDescent="0.2">
      <c r="A278" s="4">
        <f>Questions!$A278</f>
      </c>
      <c r="B278" s="4">
        <f t="shared" si="36"/>
      </c>
      <c r="C278" s="4">
        <f>VLOOKUP($A278,Questions!$A$3:$L$333,2,0)&amp;""</f>
      </c>
      <c r="D278" s="4">
        <f>VLOOKUP($A278,Questions!$A$3:$L$333,11,0)&amp;""</f>
      </c>
      <c r="E278" s="4">
        <f>VLOOKUP($A278,Questions!$A$3:$L$333,12,0)&amp;""</f>
      </c>
      <c r="F278" s="4">
        <f>VLOOKUP($A278,'Privacy Analyst Evaluation'!$A$46:$K$120,3,0)&amp;""</f>
      </c>
      <c r="G278" s="4">
        <f>VLOOKUP($A278,'Privacy Analyst Evaluation'!$A$46:$K$120,7,0)&amp;""</f>
      </c>
      <c r="H278" s="4">
        <f>VLOOKUP($A278,'Privacy Analyst Evaluation'!$A$46:$K$120,8,0)&amp;""</f>
      </c>
      <c r="I278" s="4">
        <f>VLOOKUP($A278,'Privacy Analyst Evaluation'!$A$46:$K$120,9,0)&amp;""</f>
      </c>
      <c r="J278" s="4">
        <f>VLOOKUP($A278,'Privacy Analyst Evaluation'!$A$46:$K$120,10,0)&amp;""</f>
      </c>
      <c r="K278" s="4">
        <f>IF($I278='Auto Responses'!$J$11,20,IF($I278='Auto Responses'!$J$13,5,10))</f>
      </c>
      <c r="L278" s="106">
        <f>IF($E278='Auto Responses'!$L$13, 'Auto Responses'!$J$5,IF(AND($D278='Auto Responses'!$J$27,$H278=""),'Auto Responses'!$J$5,IF(AND($D278='Auto Responses'!$J$27,$H278='Auto Responses'!$J$7),1,IF(AND($D278='Auto Responses'!$J$27,$H278='Auto Responses'!$J$8),0,IF(OR(AND($F278=$G278,$H278=""),$H278='Auto Responses'!$J$7),1,0)))))</f>
      </c>
      <c r="M278" s="4">
        <f>VLOOKUP($A278,'Privacy Analyst Evaluation'!$A$46:$K$120,11,0)&amp;""</f>
      </c>
      <c r="N278" s="4">
        <f>IF($J278='Auto Responses'!$J$11,1,IF(AND($J278="",$I278='Auto Responses'!$J$11),1,0))</f>
      </c>
      <c r="O278" s="106">
        <f>IF(OR($E278='Auto Responses'!$L$13,$F$24='Auto Responses'!$J$4,$F278='Auto Responses'!$J$5),'Auto Responses'!$J$5,IF($J278="",$K278,IF($J278='Auto Responses'!$J$13,5,IF($J278='Auto Responses'!$J$12,10,IF($J278='Auto Responses'!$J$11,20,0)))))</f>
      </c>
      <c r="P278" s="106">
        <f>IF(OR($O278='Auto Responses'!$J$5,$L278='Auto Responses'!$J$5),'Auto Responses'!$J$5,$O278*$L278)</f>
      </c>
      <c r="Q278" s="106">
        <f t="shared" si="32"/>
      </c>
      <c r="R278" s="106">
        <f t="shared" si="37"/>
      </c>
      <c r="S278" s="106">
        <f t="shared" si="33"/>
      </c>
      <c r="T278" s="106">
        <f t="shared" si="34"/>
      </c>
      <c r="U278" s="106">
        <f t="shared" si="38"/>
      </c>
      <c r="V278" s="106">
        <f t="shared" si="35"/>
      </c>
    </row>
    <row r="279" spans="1:22" ht="60" x14ac:dyDescent="0.2">
      <c r="A279" s="4">
        <f>Questions!$A279</f>
      </c>
      <c r="B279" s="4">
        <f t="shared" si="36"/>
      </c>
      <c r="C279" s="4">
        <f>VLOOKUP($A279,Questions!$A$3:$L$333,2,0)&amp;""</f>
      </c>
      <c r="D279" s="4">
        <f>VLOOKUP($A279,Questions!$A$3:$L$333,11,0)&amp;""</f>
      </c>
      <c r="E279" s="4">
        <f>VLOOKUP($A279,Questions!$A$3:$L$333,12,0)&amp;""</f>
      </c>
      <c r="F279" s="4">
        <f>VLOOKUP($A279,'Privacy Analyst Evaluation'!$A$46:$K$120,3,0)&amp;""</f>
      </c>
      <c r="G279" s="4">
        <f>VLOOKUP($A279,'Privacy Analyst Evaluation'!$A$46:$K$120,7,0)&amp;""</f>
      </c>
      <c r="H279" s="4">
        <f>VLOOKUP($A279,'Privacy Analyst Evaluation'!$A$46:$K$120,8,0)&amp;""</f>
      </c>
      <c r="I279" s="4">
        <f>VLOOKUP($A279,'Privacy Analyst Evaluation'!$A$46:$K$120,9,0)&amp;""</f>
      </c>
      <c r="J279" s="4">
        <f>VLOOKUP($A279,'Privacy Analyst Evaluation'!$A$46:$K$120,10,0)&amp;""</f>
      </c>
      <c r="K279" s="4">
        <f>IF($I279='Auto Responses'!$J$11,20,IF($I279='Auto Responses'!$J$13,5,10))</f>
      </c>
      <c r="L279" s="106">
        <f>IF($E279='Auto Responses'!$L$13, 'Auto Responses'!$J$5,IF(AND($D279='Auto Responses'!$J$27,$H279=""),'Auto Responses'!$J$5,IF(AND($D279='Auto Responses'!$J$27,$H279='Auto Responses'!$J$7),1,IF(AND($D279='Auto Responses'!$J$27,$H279='Auto Responses'!$J$8),0,IF(OR(AND($F279=$G279,$H279=""),$H279='Auto Responses'!$J$7),1,0)))))</f>
      </c>
      <c r="M279" s="4">
        <f>VLOOKUP($A279,'Privacy Analyst Evaluation'!$A$46:$K$120,11,0)&amp;""</f>
      </c>
      <c r="N279" s="4">
        <f>IF($J279='Auto Responses'!$J$11,1,IF(AND($J279="",$I279='Auto Responses'!$J$11),1,0))</f>
      </c>
      <c r="O279" s="106">
        <f>IF(OR($E279='Auto Responses'!$L$13,$F$24='Auto Responses'!$J$4,$F279='Auto Responses'!$J$5),'Auto Responses'!$J$5,IF($J279="",$K279,IF($J279='Auto Responses'!$J$13,5,IF($J279='Auto Responses'!$J$12,10,IF($J279='Auto Responses'!$J$11,20,0)))))</f>
      </c>
      <c r="P279" s="106">
        <f>IF(OR($O279='Auto Responses'!$J$5,$L279='Auto Responses'!$J$5),'Auto Responses'!$J$5,$O279*$L279)</f>
      </c>
      <c r="Q279" s="106">
        <f t="shared" si="32"/>
      </c>
      <c r="R279" s="106">
        <f t="shared" si="37"/>
      </c>
      <c r="S279" s="106">
        <f t="shared" si="33"/>
      </c>
      <c r="T279" s="106">
        <f t="shared" si="34"/>
      </c>
      <c r="U279" s="106">
        <f t="shared" si="38"/>
      </c>
      <c r="V279" s="106">
        <f t="shared" si="35"/>
      </c>
    </row>
    <row r="280" spans="1:22" ht="60" x14ac:dyDescent="0.2">
      <c r="A280" s="4">
        <f>Questions!$A280</f>
      </c>
      <c r="B280" s="4">
        <f t="shared" si="36"/>
      </c>
      <c r="C280" s="4">
        <f>VLOOKUP($A280,Questions!$A$3:$L$333,2,0)&amp;""</f>
      </c>
      <c r="D280" s="4">
        <f>VLOOKUP($A280,Questions!$A$3:$L$333,11,0)&amp;""</f>
      </c>
      <c r="E280" s="4">
        <f>VLOOKUP($A280,Questions!$A$3:$L$333,12,0)&amp;""</f>
      </c>
      <c r="F280" s="4">
        <f>VLOOKUP($A280,'Privacy Analyst Evaluation'!$A$46:$K$120,3,0)&amp;""</f>
      </c>
      <c r="G280" s="4">
        <f>VLOOKUP($A280,'Privacy Analyst Evaluation'!$A$46:$K$120,7,0)&amp;""</f>
      </c>
      <c r="H280" s="4">
        <f>VLOOKUP($A280,'Privacy Analyst Evaluation'!$A$46:$K$120,8,0)&amp;""</f>
      </c>
      <c r="I280" s="4">
        <f>VLOOKUP($A280,'Privacy Analyst Evaluation'!$A$46:$K$120,9,0)&amp;""</f>
      </c>
      <c r="J280" s="4">
        <f>VLOOKUP($A280,'Privacy Analyst Evaluation'!$A$46:$K$120,10,0)&amp;""</f>
      </c>
      <c r="K280" s="4">
        <f>IF($I280='Auto Responses'!$J$11,20,IF($I280='Auto Responses'!$J$13,5,10))</f>
      </c>
      <c r="L280" s="106">
        <f>IF($E280='Auto Responses'!$L$13, 'Auto Responses'!$J$5,IF(AND($D280='Auto Responses'!$J$27,$H280=""),'Auto Responses'!$J$5,IF(AND($D280='Auto Responses'!$J$27,$H280='Auto Responses'!$J$7),1,IF(AND($D280='Auto Responses'!$J$27,$H280='Auto Responses'!$J$8),0,IF(OR(AND($F280=$G280,$H280=""),$H280='Auto Responses'!$J$7),1,0)))))</f>
      </c>
      <c r="M280" s="4">
        <f>VLOOKUP($A280,'Privacy Analyst Evaluation'!$A$46:$K$120,11,0)&amp;""</f>
      </c>
      <c r="N280" s="4">
        <f>IF($J280='Auto Responses'!$J$11,1,IF(AND($J280="",$I280='Auto Responses'!$J$11),1,0))</f>
      </c>
      <c r="O280" s="106">
        <f>IF(OR($E280='Auto Responses'!$L$13,$F$24='Auto Responses'!$J$4,$F280='Auto Responses'!$J$5),'Auto Responses'!$J$5,IF($J280="",$K280,IF($J280='Auto Responses'!$J$13,5,IF($J280='Auto Responses'!$J$12,10,IF($J280='Auto Responses'!$J$11,20,0)))))</f>
      </c>
      <c r="P280" s="106">
        <f>IF(OR($O280='Auto Responses'!$J$5,$L280='Auto Responses'!$J$5),'Auto Responses'!$J$5,$O280*$L280)</f>
      </c>
      <c r="Q280" s="106">
        <f t="shared" si="32"/>
      </c>
      <c r="R280" s="106">
        <f t="shared" si="37"/>
      </c>
      <c r="S280" s="106">
        <f t="shared" si="33"/>
      </c>
      <c r="T280" s="106">
        <f t="shared" si="34"/>
      </c>
      <c r="U280" s="106">
        <f t="shared" si="38"/>
      </c>
      <c r="V280" s="106">
        <f t="shared" si="35"/>
      </c>
    </row>
    <row r="281" spans="1:22" ht="60" x14ac:dyDescent="0.2">
      <c r="A281" s="4">
        <f>Questions!$A281</f>
      </c>
      <c r="B281" s="4">
        <f t="shared" si="36"/>
      </c>
      <c r="C281" s="4">
        <f>VLOOKUP($A281,Questions!$A$3:$L$333,2,0)&amp;""</f>
      </c>
      <c r="D281" s="4">
        <f>VLOOKUP($A281,Questions!$A$3:$L$333,11,0)&amp;""</f>
      </c>
      <c r="E281" s="4">
        <f>VLOOKUP($A281,Questions!$A$3:$L$333,12,0)&amp;""</f>
      </c>
      <c r="F281" s="4">
        <f>VLOOKUP($A281,'Privacy Analyst Evaluation'!$A$46:$K$120,3,0)&amp;""</f>
      </c>
      <c r="G281" s="4">
        <f>VLOOKUP($A281,'Privacy Analyst Evaluation'!$A$46:$K$120,7,0)&amp;""</f>
      </c>
      <c r="H281" s="4">
        <f>VLOOKUP($A281,'Privacy Analyst Evaluation'!$A$46:$K$120,8,0)&amp;""</f>
      </c>
      <c r="I281" s="4">
        <f>VLOOKUP($A281,'Privacy Analyst Evaluation'!$A$46:$K$120,9,0)&amp;""</f>
      </c>
      <c r="J281" s="4">
        <f>VLOOKUP($A281,'Privacy Analyst Evaluation'!$A$46:$K$120,10,0)&amp;""</f>
      </c>
      <c r="K281" s="4">
        <f>IF($I281='Auto Responses'!$J$11,20,IF($I281='Auto Responses'!$J$13,5,10))</f>
      </c>
      <c r="L281" s="106">
        <f>IF($E281='Auto Responses'!$L$13, 'Auto Responses'!$J$5,IF(AND($D281='Auto Responses'!$J$27,$H281=""),'Auto Responses'!$J$5,IF(AND($D281='Auto Responses'!$J$27,$H281='Auto Responses'!$J$7),1,IF(AND($D281='Auto Responses'!$J$27,$H281='Auto Responses'!$J$8),0,IF(OR(AND($F281=$G281,$H281=""),$H281='Auto Responses'!$J$7),1,0)))))</f>
      </c>
      <c r="M281" s="4">
        <f>VLOOKUP($A281,'Privacy Analyst Evaluation'!$A$46:$K$120,11,0)&amp;""</f>
      </c>
      <c r="N281" s="4">
        <f>IF($J281='Auto Responses'!$J$11,1,IF(AND($J281="",$I281='Auto Responses'!$J$11),1,0))</f>
      </c>
      <c r="O281" s="106">
        <f>IF(OR($E281='Auto Responses'!$L$13,$F$24='Auto Responses'!$J$4,$F281='Auto Responses'!$J$5),'Auto Responses'!$J$5,IF($J281="",$K281,IF($J281='Auto Responses'!$J$13,5,IF($J281='Auto Responses'!$J$12,10,IF($J281='Auto Responses'!$J$11,20,0)))))</f>
      </c>
      <c r="P281" s="106">
        <f>IF(OR($O281='Auto Responses'!$J$5,$L281='Auto Responses'!$J$5),'Auto Responses'!$J$5,$O281*$L281)</f>
      </c>
      <c r="Q281" s="106">
        <f t="shared" si="32"/>
      </c>
      <c r="R281" s="106">
        <f t="shared" si="37"/>
      </c>
      <c r="S281" s="106">
        <f t="shared" si="33"/>
      </c>
      <c r="T281" s="106">
        <f t="shared" si="34"/>
      </c>
      <c r="U281" s="106">
        <f t="shared" si="38"/>
      </c>
      <c r="V281" s="106">
        <f t="shared" si="35"/>
      </c>
    </row>
    <row r="282" spans="1:22" ht="60" x14ac:dyDescent="0.2">
      <c r="A282" s="4">
        <f>Questions!$A282</f>
      </c>
      <c r="B282" s="4">
        <f t="shared" si="36"/>
      </c>
      <c r="C282" s="4">
        <f>VLOOKUP($A282,Questions!$A$3:$L$333,2,0)&amp;""</f>
      </c>
      <c r="D282" s="4">
        <f>VLOOKUP($A282,Questions!$A$3:$L$333,11,0)&amp;""</f>
      </c>
      <c r="E282" s="4">
        <f>VLOOKUP($A282,Questions!$A$3:$L$333,12,0)&amp;""</f>
      </c>
      <c r="F282" s="4">
        <f>VLOOKUP($A282,'Privacy Analyst Evaluation'!$A$46:$K$120,3,0)&amp;""</f>
      </c>
      <c r="G282" s="4">
        <f>VLOOKUP($A282,'Privacy Analyst Evaluation'!$A$46:$K$120,7,0)&amp;""</f>
      </c>
      <c r="H282" s="4">
        <f>VLOOKUP($A282,'Privacy Analyst Evaluation'!$A$46:$K$120,8,0)&amp;""</f>
      </c>
      <c r="I282" s="4">
        <f>VLOOKUP($A282,'Privacy Analyst Evaluation'!$A$46:$K$120,9,0)&amp;""</f>
      </c>
      <c r="J282" s="4">
        <f>VLOOKUP($A282,'Privacy Analyst Evaluation'!$A$46:$K$120,10,0)&amp;""</f>
      </c>
      <c r="K282" s="4">
        <f>IF($I282='Auto Responses'!$J$11,20,IF($I282='Auto Responses'!$J$13,5,10))</f>
      </c>
      <c r="L282" s="106">
        <f>IF($E282='Auto Responses'!$L$13, 'Auto Responses'!$J$5,IF(AND($D282='Auto Responses'!$J$27,$H282=""),'Auto Responses'!$J$5,IF(AND($D282='Auto Responses'!$J$27,$H282='Auto Responses'!$J$7),1,IF(AND($D282='Auto Responses'!$J$27,$H282='Auto Responses'!$J$8),0,IF(OR(AND($F282=$G282,$H282=""),$H282='Auto Responses'!$J$7),1,0)))))</f>
      </c>
      <c r="M282" s="4">
        <f>VLOOKUP($A282,'Privacy Analyst Evaluation'!$A$46:$K$120,11,0)&amp;""</f>
      </c>
      <c r="N282" s="4">
        <f>IF($J282='Auto Responses'!$J$11,1,IF(AND($J282="",$I282='Auto Responses'!$J$11),1,0))</f>
      </c>
      <c r="O282" s="106">
        <f>IF(OR($E282='Auto Responses'!$L$13,$F$24='Auto Responses'!$J$4,$F282='Auto Responses'!$J$5),'Auto Responses'!$J$5,IF($J282="",$K282,IF($J282='Auto Responses'!$J$13,5,IF($J282='Auto Responses'!$J$12,10,IF($J282='Auto Responses'!$J$11,20,0)))))</f>
      </c>
      <c r="P282" s="106">
        <f>IF(OR($O282='Auto Responses'!$J$5,$L282='Auto Responses'!$J$5),'Auto Responses'!$J$5,$O282*$L282)</f>
      </c>
      <c r="Q282" s="106">
        <f t="shared" si="32"/>
      </c>
      <c r="R282" s="106">
        <f t="shared" si="37"/>
      </c>
      <c r="S282" s="106">
        <f t="shared" si="33"/>
      </c>
      <c r="T282" s="106">
        <f t="shared" si="34"/>
      </c>
      <c r="U282" s="106">
        <f t="shared" si="38"/>
      </c>
      <c r="V282" s="106">
        <f t="shared" si="35"/>
      </c>
    </row>
    <row r="283" spans="1:22" ht="60" x14ac:dyDescent="0.2">
      <c r="A283" s="4">
        <f>Questions!$A283</f>
      </c>
      <c r="B283" s="4">
        <f t="shared" si="36"/>
      </c>
      <c r="C283" s="4">
        <f>VLOOKUP($A283,Questions!$A$3:$L$333,2,0)&amp;""</f>
      </c>
      <c r="D283" s="4">
        <f>VLOOKUP($A283,Questions!$A$3:$L$333,11,0)&amp;""</f>
      </c>
      <c r="E283" s="4">
        <f>VLOOKUP($A283,Questions!$A$3:$L$333,12,0)&amp;""</f>
      </c>
      <c r="F283" s="4">
        <f>VLOOKUP($A283,'Privacy Analyst Evaluation'!$A$46:$K$120,3,0)&amp;""</f>
      </c>
      <c r="G283" s="4">
        <f>VLOOKUP($A283,'Privacy Analyst Evaluation'!$A$46:$K$120,7,0)&amp;""</f>
      </c>
      <c r="H283" s="4">
        <f>VLOOKUP($A283,'Privacy Analyst Evaluation'!$A$46:$K$120,8,0)&amp;""</f>
      </c>
      <c r="I283" s="4">
        <f>VLOOKUP($A283,'Privacy Analyst Evaluation'!$A$46:$K$120,9,0)&amp;""</f>
      </c>
      <c r="J283" s="4">
        <f>VLOOKUP($A283,'Privacy Analyst Evaluation'!$A$46:$K$120,10,0)&amp;""</f>
      </c>
      <c r="K283" s="4">
        <f>IF($I283='Auto Responses'!$J$11,20,IF($I283='Auto Responses'!$J$13,5,10))</f>
      </c>
      <c r="L283" s="106">
        <f>IF($E283='Auto Responses'!$L$13, 'Auto Responses'!$J$5,IF(AND($D283='Auto Responses'!$J$27,$H283=""),'Auto Responses'!$J$5,IF(AND($D283='Auto Responses'!$J$27,$H283='Auto Responses'!$J$7),1,IF(AND($D283='Auto Responses'!$J$27,$H283='Auto Responses'!$J$8),0,IF(OR(AND($F283=$G283,$H283=""),$H283='Auto Responses'!$J$7),1,0)))))</f>
      </c>
      <c r="M283" s="4">
        <f>VLOOKUP($A283,'Privacy Analyst Evaluation'!$A$46:$K$120,11,0)&amp;""</f>
      </c>
      <c r="N283" s="4">
        <f>IF($J283='Auto Responses'!$J$11,1,IF(AND($J283="",$I283='Auto Responses'!$J$11),1,0))</f>
      </c>
      <c r="O283" s="106">
        <f>IF(OR($E283='Auto Responses'!$L$13,$F$24='Auto Responses'!$J$4,$F283='Auto Responses'!$J$5),'Auto Responses'!$J$5,IF($J283="",$K283,IF($J283='Auto Responses'!$J$13,5,IF($J283='Auto Responses'!$J$12,10,IF($J283='Auto Responses'!$J$11,20,0)))))</f>
      </c>
      <c r="P283" s="106">
        <f>IF(OR($O283='Auto Responses'!$J$5,$L283='Auto Responses'!$J$5),'Auto Responses'!$J$5,$O283*$L283)</f>
      </c>
      <c r="Q283" s="106">
        <f t="shared" si="32"/>
      </c>
      <c r="R283" s="106">
        <f t="shared" si="37"/>
      </c>
      <c r="S283" s="106">
        <f t="shared" si="33"/>
      </c>
      <c r="T283" s="106">
        <f t="shared" si="34"/>
      </c>
      <c r="U283" s="106">
        <f t="shared" si="38"/>
      </c>
      <c r="V283" s="106">
        <f t="shared" si="35"/>
      </c>
    </row>
    <row r="284" spans="1:22" ht="60" x14ac:dyDescent="0.2">
      <c r="A284" s="4">
        <f>Questions!$A284</f>
      </c>
      <c r="B284" s="4">
        <f t="shared" si="36"/>
      </c>
      <c r="C284" s="4">
        <f>VLOOKUP($A284,Questions!$A$3:$L$333,2,0)&amp;""</f>
      </c>
      <c r="D284" s="4">
        <f>VLOOKUP($A284,Questions!$A$3:$L$333,11,0)&amp;""</f>
      </c>
      <c r="E284" s="4">
        <f>VLOOKUP($A284,Questions!$A$3:$L$333,12,0)&amp;""</f>
      </c>
      <c r="F284" s="4">
        <f>VLOOKUP($A284,'Privacy Analyst Evaluation'!$A$46:$K$120,3,0)&amp;""</f>
      </c>
      <c r="G284" s="4">
        <f>VLOOKUP($A284,'Privacy Analyst Evaluation'!$A$46:$K$120,7,0)&amp;""</f>
      </c>
      <c r="H284" s="4">
        <f>VLOOKUP($A284,'Privacy Analyst Evaluation'!$A$46:$K$120,8,0)&amp;""</f>
      </c>
      <c r="I284" s="4">
        <f>VLOOKUP($A284,'Privacy Analyst Evaluation'!$A$46:$K$120,9,0)&amp;""</f>
      </c>
      <c r="J284" s="4">
        <f>VLOOKUP($A284,'Privacy Analyst Evaluation'!$A$46:$K$120,10,0)&amp;""</f>
      </c>
      <c r="K284" s="4">
        <f>IF($I284='Auto Responses'!$J$11,20,IF($I284='Auto Responses'!$J$13,5,10))</f>
      </c>
      <c r="L284" s="106">
        <f>IF($E284='Auto Responses'!$L$13, 'Auto Responses'!$J$5,IF(AND($D284='Auto Responses'!$J$27,$H284=""),'Auto Responses'!$J$5,IF(AND($D284='Auto Responses'!$J$27,$H284='Auto Responses'!$J$7),1,IF(AND($D284='Auto Responses'!$J$27,$H284='Auto Responses'!$J$8),0,IF(OR(AND($F284=$G284,$H284=""),$H284='Auto Responses'!$J$7),1,0)))))</f>
      </c>
      <c r="M284" s="4">
        <f>VLOOKUP($A284,'Privacy Analyst Evaluation'!$A$46:$K$120,11,0)&amp;""</f>
      </c>
      <c r="N284" s="4">
        <f>IF($J284='Auto Responses'!$J$11,1,IF(AND($J284="",$I284='Auto Responses'!$J$11),1,0))</f>
      </c>
      <c r="O284" s="106">
        <f>IF(OR($E284='Auto Responses'!$L$13,$F$24='Auto Responses'!$J$4,$F284='Auto Responses'!$J$5),'Auto Responses'!$J$5,IF($J284="",$K284,IF($J284='Auto Responses'!$J$13,5,IF($J284='Auto Responses'!$J$12,10,IF($J284='Auto Responses'!$J$11,20,0)))))</f>
      </c>
      <c r="P284" s="106">
        <f>IF(OR($O284='Auto Responses'!$J$5,$L284='Auto Responses'!$J$5),'Auto Responses'!$J$5,$O284*$L284)</f>
      </c>
      <c r="Q284" s="106">
        <f t="shared" si="32"/>
      </c>
      <c r="R284" s="106">
        <f t="shared" si="37"/>
      </c>
      <c r="S284" s="106">
        <f t="shared" si="33"/>
      </c>
      <c r="T284" s="106">
        <f t="shared" si="34"/>
      </c>
      <c r="U284" s="106">
        <f t="shared" si="38"/>
      </c>
      <c r="V284" s="106">
        <f t="shared" si="35"/>
      </c>
    </row>
    <row r="285" spans="1:22" ht="60" x14ac:dyDescent="0.2">
      <c r="A285" s="4">
        <f>Questions!$A285</f>
      </c>
      <c r="B285" s="4">
        <f t="shared" si="36"/>
      </c>
      <c r="C285" s="4">
        <f>VLOOKUP($A285,Questions!$A$3:$L$333,2,0)&amp;""</f>
      </c>
      <c r="D285" s="4">
        <f>VLOOKUP($A285,Questions!$A$3:$L$333,11,0)&amp;""</f>
      </c>
      <c r="E285" s="4">
        <f>VLOOKUP($A285,Questions!$A$3:$L$333,12,0)&amp;""</f>
      </c>
      <c r="F285" s="4">
        <f>VLOOKUP($A285,'Privacy Analyst Evaluation'!$A$46:$K$120,3,0)&amp;""</f>
      </c>
      <c r="G285" s="4">
        <f>VLOOKUP($A285,'Privacy Analyst Evaluation'!$A$46:$K$120,7,0)&amp;""</f>
      </c>
      <c r="H285" s="4">
        <f>VLOOKUP($A285,'Privacy Analyst Evaluation'!$A$46:$K$120,8,0)&amp;""</f>
      </c>
      <c r="I285" s="4">
        <f>VLOOKUP($A285,'Privacy Analyst Evaluation'!$A$46:$K$120,9,0)&amp;""</f>
      </c>
      <c r="J285" s="4">
        <f>VLOOKUP($A285,'Privacy Analyst Evaluation'!$A$46:$K$120,10,0)&amp;""</f>
      </c>
      <c r="K285" s="4">
        <f>IF($I285='Auto Responses'!$J$11,20,IF($I285='Auto Responses'!$J$13,5,10))</f>
      </c>
      <c r="L285" s="106">
        <f>IF($E285='Auto Responses'!$L$13, 'Auto Responses'!$J$5,IF(AND($D285='Auto Responses'!$J$27,$H285=""),'Auto Responses'!$J$5,IF(AND($D285='Auto Responses'!$J$27,$H285='Auto Responses'!$J$7),1,IF(AND($D285='Auto Responses'!$J$27,$H285='Auto Responses'!$J$8),0,IF(OR(AND($F285=$G285,$H285=""),$H285='Auto Responses'!$J$7),1,0)))))</f>
      </c>
      <c r="M285" s="4">
        <f>VLOOKUP($A285,'Privacy Analyst Evaluation'!$A$46:$K$120,11,0)&amp;""</f>
      </c>
      <c r="N285" s="4">
        <f>IF($J285='Auto Responses'!$J$11,1,IF(AND($J285="",$I285='Auto Responses'!$J$11),1,0))</f>
      </c>
      <c r="O285" s="106">
        <f>IF(OR($E285='Auto Responses'!$L$13,$F$24='Auto Responses'!$J$4,$F285='Auto Responses'!$J$5),'Auto Responses'!$J$5,IF($J285="",$K285,IF($J285='Auto Responses'!$J$13,5,IF($J285='Auto Responses'!$J$12,10,IF($J285='Auto Responses'!$J$11,20,0)))))</f>
      </c>
      <c r="P285" s="106">
        <f>IF(OR($O285='Auto Responses'!$J$5,$L285='Auto Responses'!$J$5),'Auto Responses'!$J$5,$O285*$L285)</f>
      </c>
      <c r="Q285" s="106">
        <f t="shared" si="32"/>
      </c>
      <c r="R285" s="106">
        <f t="shared" si="37"/>
      </c>
      <c r="S285" s="106">
        <f t="shared" si="33"/>
      </c>
      <c r="T285" s="106">
        <f t="shared" si="34"/>
      </c>
      <c r="U285" s="106">
        <f t="shared" si="38"/>
      </c>
      <c r="V285" s="106">
        <f t="shared" si="35"/>
      </c>
    </row>
    <row r="286" spans="1:22" ht="60" x14ac:dyDescent="0.2">
      <c r="A286" s="4">
        <f>Questions!$A286</f>
      </c>
      <c r="B286" s="4">
        <f t="shared" si="36"/>
      </c>
      <c r="C286" s="4">
        <f>VLOOKUP($A286,Questions!$A$3:$L$333,2,0)&amp;""</f>
      </c>
      <c r="D286" s="4">
        <f>VLOOKUP($A286,Questions!$A$3:$L$333,11,0)&amp;""</f>
      </c>
      <c r="E286" s="4">
        <f>VLOOKUP($A286,Questions!$A$3:$L$333,12,0)&amp;""</f>
      </c>
      <c r="F286" s="4">
        <f>VLOOKUP($A286,'Privacy Analyst Evaluation'!$A$46:$K$120,3,0)&amp;""</f>
      </c>
      <c r="G286" s="4">
        <f>VLOOKUP($A286,'Privacy Analyst Evaluation'!$A$46:$K$120,7,0)&amp;""</f>
      </c>
      <c r="H286" s="4">
        <f>VLOOKUP($A286,'Privacy Analyst Evaluation'!$A$46:$K$120,8,0)&amp;""</f>
      </c>
      <c r="I286" s="4">
        <f>VLOOKUP($A286,'Privacy Analyst Evaluation'!$A$46:$K$120,9,0)&amp;""</f>
      </c>
      <c r="J286" s="4">
        <f>VLOOKUP($A286,'Privacy Analyst Evaluation'!$A$46:$K$120,10,0)&amp;""</f>
      </c>
      <c r="K286" s="4">
        <f>IF($I286='Auto Responses'!$J$11,20,IF($I286='Auto Responses'!$J$13,5,10))</f>
      </c>
      <c r="L286" s="106">
        <f>IF($E286='Auto Responses'!$L$13, 'Auto Responses'!$J$5,IF(AND($D286='Auto Responses'!$J$27,$H286=""),'Auto Responses'!$J$5,IF(AND($D286='Auto Responses'!$J$27,$H286='Auto Responses'!$J$7),1,IF(AND($D286='Auto Responses'!$J$27,$H286='Auto Responses'!$J$8),0,IF(OR(AND($F286=$G286,$H286=""),$H286='Auto Responses'!$J$7),1,0)))))</f>
      </c>
      <c r="M286" s="4">
        <f>VLOOKUP($A286,'Privacy Analyst Evaluation'!$A$46:$K$120,11,0)&amp;""</f>
      </c>
      <c r="N286" s="4">
        <f>IF($J286='Auto Responses'!$J$11,1,IF(AND($J286="",$I286='Auto Responses'!$J$11),1,0))</f>
      </c>
      <c r="O286" s="106">
        <f>IF(OR($E286='Auto Responses'!$L$13,$F$24='Auto Responses'!$J$4,$F286='Auto Responses'!$J$5),'Auto Responses'!$J$5,IF($J286="",$K286,IF($J286='Auto Responses'!$J$13,5,IF($J286='Auto Responses'!$J$12,10,IF($J286='Auto Responses'!$J$11,20,0)))))</f>
      </c>
      <c r="P286" s="106">
        <f>IF(OR($O286='Auto Responses'!$J$5,$L286='Auto Responses'!$J$5),'Auto Responses'!$J$5,$O286*$L286)</f>
      </c>
      <c r="Q286" s="106">
        <f t="shared" si="32"/>
      </c>
      <c r="R286" s="106">
        <f t="shared" si="37"/>
      </c>
      <c r="S286" s="106">
        <f t="shared" si="33"/>
      </c>
      <c r="T286" s="106">
        <f t="shared" si="34"/>
      </c>
      <c r="U286" s="106">
        <f t="shared" si="38"/>
      </c>
      <c r="V286" s="106">
        <f t="shared" si="35"/>
      </c>
    </row>
    <row r="287" spans="1:22" ht="60" x14ac:dyDescent="0.2">
      <c r="A287" s="4">
        <f>Questions!$A287</f>
      </c>
      <c r="B287" s="4">
        <f t="shared" si="36"/>
      </c>
      <c r="C287" s="4">
        <f>VLOOKUP($A287,Questions!$A$3:$L$333,2,0)&amp;""</f>
      </c>
      <c r="D287" s="4">
        <f>VLOOKUP($A287,Questions!$A$3:$L$333,11,0)&amp;""</f>
      </c>
      <c r="E287" s="4">
        <f>VLOOKUP($A287,Questions!$A$3:$L$333,12,0)&amp;""</f>
      </c>
      <c r="F287" s="4">
        <f>VLOOKUP($A287,'Privacy Analyst Evaluation'!$A$46:$K$120,3,0)&amp;""</f>
      </c>
      <c r="G287" s="4">
        <f>VLOOKUP($A287,'Privacy Analyst Evaluation'!$A$46:$K$120,7,0)&amp;""</f>
      </c>
      <c r="H287" s="4">
        <f>VLOOKUP($A287,'Privacy Analyst Evaluation'!$A$46:$K$120,8,0)&amp;""</f>
      </c>
      <c r="I287" s="4">
        <f>VLOOKUP($A287,'Privacy Analyst Evaluation'!$A$46:$K$120,9,0)&amp;""</f>
      </c>
      <c r="J287" s="4">
        <f>VLOOKUP($A287,'Privacy Analyst Evaluation'!$A$46:$K$120,10,0)&amp;""</f>
      </c>
      <c r="K287" s="4">
        <f>IF($I287='Auto Responses'!$J$11,20,IF($I287='Auto Responses'!$J$13,5,10))</f>
      </c>
      <c r="L287" s="106">
        <f>IF($E287='Auto Responses'!$L$13, 'Auto Responses'!$J$5,IF(AND($D287='Auto Responses'!$J$27,$H287=""),'Auto Responses'!$J$5,IF(AND($D287='Auto Responses'!$J$27,$H287='Auto Responses'!$J$7),1,IF(AND($D287='Auto Responses'!$J$27,$H287='Auto Responses'!$J$8),0,IF(OR(AND($F287=$G287,$H287=""),$H287='Auto Responses'!$J$7),1,0)))))</f>
      </c>
      <c r="M287" s="4">
        <f>VLOOKUP($A287,'Privacy Analyst Evaluation'!$A$46:$K$120,11,0)&amp;""</f>
      </c>
      <c r="N287" s="4">
        <f>IF($J287='Auto Responses'!$J$11,1,IF(AND($J287="",$I287='Auto Responses'!$J$11),1,0))</f>
      </c>
      <c r="O287" s="106">
        <f>IF(OR($E287='Auto Responses'!$L$13,$F$24='Auto Responses'!$J$4,$F287='Auto Responses'!$J$5),'Auto Responses'!$J$5,IF($J287="",$K287,IF($J287='Auto Responses'!$J$13,5,IF($J287='Auto Responses'!$J$12,10,IF($J287='Auto Responses'!$J$11,20,0)))))</f>
      </c>
      <c r="P287" s="106">
        <f>IF(OR($O287='Auto Responses'!$J$5,$L287='Auto Responses'!$J$5),'Auto Responses'!$J$5,$O287*$L287)</f>
      </c>
      <c r="Q287" s="106">
        <f t="shared" si="32"/>
      </c>
      <c r="R287" s="106">
        <f t="shared" si="37"/>
      </c>
      <c r="S287" s="106">
        <f t="shared" si="33"/>
      </c>
      <c r="T287" s="106">
        <f t="shared" si="34"/>
      </c>
      <c r="U287" s="106">
        <f t="shared" si="38"/>
      </c>
      <c r="V287" s="106">
        <f t="shared" si="35"/>
      </c>
    </row>
    <row r="288" spans="1:22" ht="60" x14ac:dyDescent="0.2">
      <c r="A288" s="4">
        <f>Questions!$A288</f>
      </c>
      <c r="B288" s="4">
        <f t="shared" si="36"/>
      </c>
      <c r="C288" s="4">
        <f>VLOOKUP($A288,Questions!$A$3:$L$333,2,0)&amp;""</f>
      </c>
      <c r="D288" s="4">
        <f>VLOOKUP($A288,Questions!$A$3:$L$333,11,0)&amp;""</f>
      </c>
      <c r="E288" s="4">
        <f>VLOOKUP($A288,Questions!$A$3:$L$333,12,0)&amp;""</f>
      </c>
      <c r="F288" s="4">
        <f>VLOOKUP($A288,'Privacy Analyst Evaluation'!$A$46:$K$120,3,0)&amp;""</f>
      </c>
      <c r="G288" s="4">
        <f>VLOOKUP($A288,'Privacy Analyst Evaluation'!$A$46:$K$120,7,0)&amp;""</f>
      </c>
      <c r="H288" s="4">
        <f>VLOOKUP($A288,'Privacy Analyst Evaluation'!$A$46:$K$120,8,0)&amp;""</f>
      </c>
      <c r="I288" s="4">
        <f>VLOOKUP($A288,'Privacy Analyst Evaluation'!$A$46:$K$120,9,0)&amp;""</f>
      </c>
      <c r="J288" s="4">
        <f>VLOOKUP($A288,'Privacy Analyst Evaluation'!$A$46:$K$120,10,0)&amp;""</f>
      </c>
      <c r="K288" s="4">
        <f>IF($I288='Auto Responses'!$J$11,20,IF($I288='Auto Responses'!$J$13,5,10))</f>
      </c>
      <c r="L288" s="106">
        <f>IF($E288='Auto Responses'!$L$13, 'Auto Responses'!$J$5,IF(AND($D288='Auto Responses'!$J$27,$H288=""),'Auto Responses'!$J$5,IF(AND($D288='Auto Responses'!$J$27,$H288='Auto Responses'!$J$7),1,IF(AND($D288='Auto Responses'!$J$27,$H288='Auto Responses'!$J$8),0,IF(OR(AND($F288=$G288,$H288=""),$H288='Auto Responses'!$J$7),1,0)))))</f>
      </c>
      <c r="M288" s="4">
        <f>VLOOKUP($A288,'Privacy Analyst Evaluation'!$A$46:$K$120,11,0)&amp;""</f>
      </c>
      <c r="N288" s="4">
        <f>IF($J288='Auto Responses'!$J$11,1,IF(AND($J288="",$I288='Auto Responses'!$J$11),1,0))</f>
      </c>
      <c r="O288" s="106">
        <f>IF(OR($E288='Auto Responses'!$L$13,$F$24='Auto Responses'!$J$4,$F288='Auto Responses'!$J$5),'Auto Responses'!$J$5,IF($J288="",$K288,IF($J288='Auto Responses'!$J$13,5,IF($J288='Auto Responses'!$J$12,10,IF($J288='Auto Responses'!$J$11,20,0)))))</f>
      </c>
      <c r="P288" s="106">
        <f>IF(OR($O288='Auto Responses'!$J$5,$L288='Auto Responses'!$J$5),'Auto Responses'!$J$5,$O288*$L288)</f>
      </c>
      <c r="Q288" s="106">
        <f t="shared" si="32"/>
      </c>
      <c r="R288" s="106">
        <f t="shared" si="37"/>
      </c>
      <c r="S288" s="106">
        <f t="shared" si="33"/>
      </c>
      <c r="T288" s="106">
        <f t="shared" si="34"/>
      </c>
      <c r="U288" s="106">
        <f t="shared" si="38"/>
      </c>
      <c r="V288" s="106">
        <f t="shared" si="35"/>
      </c>
    </row>
    <row r="289" spans="1:22" ht="60" x14ac:dyDescent="0.2">
      <c r="A289" s="4">
        <f>Questions!$A289</f>
      </c>
      <c r="B289" s="4">
        <f t="shared" si="36"/>
      </c>
      <c r="C289" s="4">
        <f>VLOOKUP($A289,Questions!$A$3:$L$333,2,0)&amp;""</f>
      </c>
      <c r="D289" s="4">
        <f>VLOOKUP($A289,Questions!$A$3:$L$333,11,0)&amp;""</f>
      </c>
      <c r="E289" s="4">
        <f>VLOOKUP($A289,Questions!$A$3:$L$333,12,0)&amp;""</f>
      </c>
      <c r="F289" s="4">
        <f>VLOOKUP($A289,'Privacy Analyst Evaluation'!$A$46:$K$120,3,0)&amp;""</f>
      </c>
      <c r="G289" s="4">
        <f>VLOOKUP($A289,'Privacy Analyst Evaluation'!$A$46:$K$120,7,0)&amp;""</f>
      </c>
      <c r="H289" s="4">
        <f>VLOOKUP($A289,'Privacy Analyst Evaluation'!$A$46:$K$120,8,0)&amp;""</f>
      </c>
      <c r="I289" s="4">
        <f>VLOOKUP($A289,'Privacy Analyst Evaluation'!$A$46:$K$120,9,0)&amp;""</f>
      </c>
      <c r="J289" s="4">
        <f>VLOOKUP($A289,'Privacy Analyst Evaluation'!$A$46:$K$120,10,0)&amp;""</f>
      </c>
      <c r="K289" s="4">
        <f>IF($I289='Auto Responses'!$J$11,20,IF($I289='Auto Responses'!$J$13,5,10))</f>
      </c>
      <c r="L289" s="106">
        <f>IF($E289='Auto Responses'!$L$13, 'Auto Responses'!$J$5,IF(AND($D289='Auto Responses'!$J$27,$H289=""),'Auto Responses'!$J$5,IF(AND($D289='Auto Responses'!$J$27,$H289='Auto Responses'!$J$7),1,IF(AND($D289='Auto Responses'!$J$27,$H289='Auto Responses'!$J$8),0,IF(OR(AND($F289=$G289,$H289=""),$H289='Auto Responses'!$J$7),1,0)))))</f>
      </c>
      <c r="M289" s="4">
        <f>VLOOKUP($A289,'Privacy Analyst Evaluation'!$A$46:$K$120,11,0)&amp;""</f>
      </c>
      <c r="N289" s="4">
        <f>IF($J289='Auto Responses'!$J$11,1,IF(AND($J289="",$I289='Auto Responses'!$J$11),1,0))</f>
      </c>
      <c r="O289" s="106">
        <f>IF(OR($E289='Auto Responses'!$L$13,$F$24='Auto Responses'!$J$4,$F289='Auto Responses'!$J$5),'Auto Responses'!$J$5,IF($J289="",$K289,IF($J289='Auto Responses'!$J$13,5,IF($J289='Auto Responses'!$J$12,10,IF($J289='Auto Responses'!$J$11,20,0)))))</f>
      </c>
      <c r="P289" s="106">
        <f>IF(OR($O289='Auto Responses'!$J$5,$L289='Auto Responses'!$J$5),'Auto Responses'!$J$5,$O289*$L289)</f>
      </c>
      <c r="Q289" s="106">
        <f t="shared" si="32"/>
      </c>
      <c r="R289" s="106">
        <f t="shared" si="37"/>
      </c>
      <c r="S289" s="106">
        <f t="shared" si="33"/>
      </c>
      <c r="T289" s="106">
        <f t="shared" si="34"/>
      </c>
      <c r="U289" s="106">
        <f t="shared" si="38"/>
      </c>
      <c r="V289" s="106">
        <f t="shared" si="35"/>
      </c>
    </row>
    <row r="290" spans="1:22" ht="60" x14ac:dyDescent="0.2">
      <c r="A290" s="4">
        <f>Questions!$A290</f>
      </c>
      <c r="B290" s="4">
        <f t="shared" si="36"/>
      </c>
      <c r="C290" s="4">
        <f>VLOOKUP($A290,Questions!$A$3:$L$333,2,0)&amp;""</f>
      </c>
      <c r="D290" s="4">
        <f>VLOOKUP($A290,Questions!$A$3:$L$333,11,0)&amp;""</f>
      </c>
      <c r="E290" s="4">
        <f>VLOOKUP($A290,Questions!$A$3:$L$333,12,0)&amp;""</f>
      </c>
      <c r="F290" s="4">
        <f>VLOOKUP($A290,'Privacy Analyst Evaluation'!$A$46:$K$120,3,0)&amp;""</f>
      </c>
      <c r="G290" s="4">
        <f>VLOOKUP($A290,'Privacy Analyst Evaluation'!$A$46:$K$120,7,0)&amp;""</f>
      </c>
      <c r="H290" s="4">
        <f>VLOOKUP($A290,'Privacy Analyst Evaluation'!$A$46:$K$120,8,0)&amp;""</f>
      </c>
      <c r="I290" s="4">
        <f>VLOOKUP($A290,'Privacy Analyst Evaluation'!$A$46:$K$120,9,0)&amp;""</f>
      </c>
      <c r="J290" s="4">
        <f>VLOOKUP($A290,'Privacy Analyst Evaluation'!$A$46:$K$120,10,0)&amp;""</f>
      </c>
      <c r="K290" s="4">
        <f>IF($I290='Auto Responses'!$J$11,20,IF($I290='Auto Responses'!$J$13,5,10))</f>
      </c>
      <c r="L290" s="106">
        <f>IF($E290='Auto Responses'!$L$13, 'Auto Responses'!$J$5,IF(AND($D290='Auto Responses'!$J$27,$H290=""),'Auto Responses'!$J$5,IF(AND($D290='Auto Responses'!$J$27,$H290='Auto Responses'!$J$7),1,IF(AND($D290='Auto Responses'!$J$27,$H290='Auto Responses'!$J$8),0,IF(OR(AND($F290=$G290,$H290=""),$H290='Auto Responses'!$J$7),1,0)))))</f>
      </c>
      <c r="M290" s="4">
        <f>VLOOKUP($A290,'Privacy Analyst Evaluation'!$A$46:$K$120,11,0)&amp;""</f>
      </c>
      <c r="N290" s="4">
        <f>IF($J290='Auto Responses'!$J$11,1,IF(AND($J290="",$I290='Auto Responses'!$J$11),1,0))</f>
      </c>
      <c r="O290" s="106">
        <f>IF(OR($E290='Auto Responses'!$L$13,$F$24='Auto Responses'!$J$4,$F290='Auto Responses'!$J$5),'Auto Responses'!$J$5,IF($J290="",$K290,IF($J290='Auto Responses'!$J$13,5,IF($J290='Auto Responses'!$J$12,10,IF($J290='Auto Responses'!$J$11,20,0)))))</f>
      </c>
      <c r="P290" s="106">
        <f>IF(OR($O290='Auto Responses'!$J$5,$L290='Auto Responses'!$J$5),'Auto Responses'!$J$5,$O290*$L290)</f>
      </c>
      <c r="Q290" s="106">
        <f t="shared" si="32"/>
      </c>
      <c r="R290" s="106">
        <f t="shared" si="37"/>
      </c>
      <c r="S290" s="106">
        <f t="shared" si="33"/>
      </c>
      <c r="T290" s="106">
        <f t="shared" si="34"/>
      </c>
      <c r="U290" s="106">
        <f t="shared" si="38"/>
      </c>
      <c r="V290" s="106">
        <f t="shared" si="35"/>
      </c>
    </row>
    <row r="291" spans="1:22" ht="60" x14ac:dyDescent="0.2">
      <c r="A291" s="4">
        <f>Questions!$A291</f>
      </c>
      <c r="B291" s="4">
        <f t="shared" si="36"/>
      </c>
      <c r="C291" s="4">
        <f>VLOOKUP($A291,Questions!$A$3:$L$333,2,0)&amp;""</f>
      </c>
      <c r="D291" s="4">
        <f>VLOOKUP($A291,Questions!$A$3:$L$333,11,0)&amp;""</f>
      </c>
      <c r="E291" s="4">
        <f>VLOOKUP($A291,Questions!$A$3:$L$333,12,0)&amp;""</f>
      </c>
      <c r="F291" s="4">
        <f>VLOOKUP($A291,'Privacy Analyst Evaluation'!$A$46:$K$120,3,0)&amp;""</f>
      </c>
      <c r="G291" s="4">
        <f>VLOOKUP($A291,'Privacy Analyst Evaluation'!$A$46:$K$120,7,0)&amp;""</f>
      </c>
      <c r="H291" s="4">
        <f>VLOOKUP($A291,'Privacy Analyst Evaluation'!$A$46:$K$120,8,0)&amp;""</f>
      </c>
      <c r="I291" s="4">
        <f>VLOOKUP($A291,'Privacy Analyst Evaluation'!$A$46:$K$120,9,0)&amp;""</f>
      </c>
      <c r="J291" s="4">
        <f>VLOOKUP($A291,'Privacy Analyst Evaluation'!$A$46:$K$120,10,0)&amp;""</f>
      </c>
      <c r="K291" s="4">
        <f>IF($I291='Auto Responses'!$J$11,20,IF($I291='Auto Responses'!$J$13,5,10))</f>
      </c>
      <c r="L291" s="106">
        <f>IF($E291='Auto Responses'!$L$13, 'Auto Responses'!$J$5,IF(AND($D291='Auto Responses'!$J$27,$H291=""),'Auto Responses'!$J$5,IF(AND($D291='Auto Responses'!$J$27,$H291='Auto Responses'!$J$7),1,IF(AND($D291='Auto Responses'!$J$27,$H291='Auto Responses'!$J$8),0,IF(OR(AND($F291=$G291,$H291=""),$H291='Auto Responses'!$J$7),1,0)))))</f>
      </c>
      <c r="M291" s="4">
        <f>VLOOKUP($A291,'Privacy Analyst Evaluation'!$A$46:$K$120,11,0)&amp;""</f>
      </c>
      <c r="N291" s="4">
        <f>IF($J291='Auto Responses'!$J$11,1,IF(AND($J291="",$I291='Auto Responses'!$J$11),1,0))</f>
      </c>
      <c r="O291" s="106">
        <f>IF(OR($E291='Auto Responses'!$L$13,$F$24='Auto Responses'!$J$4,$F291='Auto Responses'!$J$5),'Auto Responses'!$J$5,IF($J291="",$K291,IF($J291='Auto Responses'!$J$13,5,IF($J291='Auto Responses'!$J$12,10,IF($J291='Auto Responses'!$J$11,20,0)))))</f>
      </c>
      <c r="P291" s="106">
        <f>IF(OR($O291='Auto Responses'!$J$5,$L291='Auto Responses'!$J$5),'Auto Responses'!$J$5,$O291*$L291)</f>
      </c>
      <c r="Q291" s="106">
        <f t="shared" si="32"/>
      </c>
      <c r="R291" s="106">
        <f t="shared" si="37"/>
      </c>
      <c r="S291" s="106">
        <f t="shared" si="33"/>
      </c>
      <c r="T291" s="106">
        <f t="shared" si="34"/>
      </c>
      <c r="U291" s="106">
        <f t="shared" si="38"/>
      </c>
      <c r="V291" s="106">
        <f t="shared" si="35"/>
      </c>
    </row>
    <row r="292" spans="1:22" ht="105" x14ac:dyDescent="0.2">
      <c r="A292" s="4">
        <f>Questions!$A292</f>
      </c>
      <c r="B292" s="4">
        <f t="shared" si="36"/>
      </c>
      <c r="C292" s="4">
        <f>VLOOKUP($A292,Questions!$A$3:$L$333,2,0)&amp;""</f>
      </c>
      <c r="D292" s="4">
        <f>VLOOKUP($A292,Questions!$A$3:$L$333,11,0)&amp;""</f>
      </c>
      <c r="E292" s="4">
        <f>VLOOKUP($A292,Questions!$A$3:$L$333,12,0)&amp;""</f>
      </c>
      <c r="F292" s="4">
        <f>VLOOKUP($A292,'Privacy Analyst Evaluation'!$A$46:$K$120,3,0)&amp;""</f>
      </c>
      <c r="G292" s="4">
        <f>VLOOKUP($A292,'Privacy Analyst Evaluation'!$A$46:$K$120,7,0)&amp;""</f>
      </c>
      <c r="H292" s="4">
        <f>VLOOKUP($A292,'Privacy Analyst Evaluation'!$A$46:$K$120,8,0)&amp;""</f>
      </c>
      <c r="I292" s="4">
        <f>VLOOKUP($A292,'Privacy Analyst Evaluation'!$A$46:$K$120,9,0)&amp;""</f>
      </c>
      <c r="J292" s="4">
        <f>VLOOKUP($A292,'Privacy Analyst Evaluation'!$A$46:$K$120,10,0)&amp;""</f>
      </c>
      <c r="K292" s="4">
        <f>IF($I292='Auto Responses'!$J$11,20,IF($I292='Auto Responses'!$J$13,5,10))</f>
      </c>
      <c r="L292" s="106">
        <f>IF($E292='Auto Responses'!$L$13, 'Auto Responses'!$J$5,IF(AND($D292='Auto Responses'!$J$27,$H292=""),'Auto Responses'!$J$5,IF(AND($D292='Auto Responses'!$J$27,$H292='Auto Responses'!$J$7),1,IF(AND($D292='Auto Responses'!$J$27,$H292='Auto Responses'!$J$8),0,IF(OR(AND($F292=$G292,$H292=""),$H292='Auto Responses'!$J$7),1,0)))))</f>
      </c>
      <c r="M292" s="4">
        <f>VLOOKUP($A292,'Privacy Analyst Evaluation'!$A$46:$K$120,11,0)&amp;""</f>
      </c>
      <c r="N292" s="4">
        <f>IF($J292='Auto Responses'!$J$11,1,IF(AND($J292="",$I292='Auto Responses'!$J$11),1,0))</f>
      </c>
      <c r="O292" s="106">
        <f>IF(OR($E292='Auto Responses'!$L$13,$F$24='Auto Responses'!$J$4,$F292='Auto Responses'!$J$5),'Auto Responses'!$J$5,IF($J292="",$K292,IF($J292='Auto Responses'!$J$13,5,IF($J292='Auto Responses'!$J$12,10,IF($J292='Auto Responses'!$J$11,20,0)))))</f>
      </c>
      <c r="P292" s="106">
        <f>IF(OR($O292='Auto Responses'!$J$5,$L292='Auto Responses'!$J$5),'Auto Responses'!$J$5,$O292*$L292)</f>
      </c>
      <c r="Q292" s="106">
        <f t="shared" si="32"/>
      </c>
      <c r="R292" s="106">
        <f t="shared" si="37"/>
      </c>
      <c r="S292" s="106">
        <f t="shared" si="33"/>
      </c>
      <c r="T292" s="106">
        <f t="shared" si="34"/>
      </c>
      <c r="U292" s="106">
        <f t="shared" si="38"/>
      </c>
      <c r="V292" s="106">
        <f t="shared" si="35"/>
      </c>
    </row>
    <row r="293" spans="1:22" ht="60" x14ac:dyDescent="0.2">
      <c r="A293" s="4">
        <f>Questions!$A293</f>
      </c>
      <c r="B293" s="4">
        <f t="shared" si="36"/>
      </c>
      <c r="C293" s="4">
        <f>VLOOKUP($A293,Questions!$A$3:$L$333,2,0)&amp;""</f>
      </c>
      <c r="D293" s="4">
        <f>VLOOKUP($A293,Questions!$A$3:$L$333,11,0)&amp;""</f>
      </c>
      <c r="E293" s="4">
        <f>VLOOKUP($A293,Questions!$A$3:$L$333,12,0)&amp;""</f>
      </c>
      <c r="F293" s="4">
        <f>VLOOKUP($A293,'Privacy Analyst Evaluation'!$A$46:$K$120,3,0)&amp;""</f>
      </c>
      <c r="G293" s="4">
        <f>VLOOKUP($A293,'Privacy Analyst Evaluation'!$A$46:$K$120,7,0)&amp;""</f>
      </c>
      <c r="H293" s="4">
        <f>VLOOKUP($A293,'Privacy Analyst Evaluation'!$A$46:$K$120,8,0)&amp;""</f>
      </c>
      <c r="I293" s="4">
        <f>VLOOKUP($A293,'Privacy Analyst Evaluation'!$A$46:$K$120,9,0)&amp;""</f>
      </c>
      <c r="J293" s="4">
        <f>VLOOKUP($A293,'Privacy Analyst Evaluation'!$A$46:$K$120,10,0)&amp;""</f>
      </c>
      <c r="K293" s="4">
        <f>IF($I293='Auto Responses'!$J$11,20,IF($I293='Auto Responses'!$J$13,5,10))</f>
      </c>
      <c r="L293" s="106">
        <f>IF($E293='Auto Responses'!$L$13, 'Auto Responses'!$J$5,IF(AND($D293='Auto Responses'!$J$27,$H293=""),'Auto Responses'!$J$5,IF(AND($D293='Auto Responses'!$J$27,$H293='Auto Responses'!$J$7),1,IF(AND($D293='Auto Responses'!$J$27,$H293='Auto Responses'!$J$8),0,IF(OR(AND($F293=$G293,$H293=""),$H293='Auto Responses'!$J$7),1,0)))))</f>
      </c>
      <c r="M293" s="4">
        <f>VLOOKUP($A293,'Privacy Analyst Evaluation'!$A$46:$K$120,11,0)&amp;""</f>
      </c>
      <c r="N293" s="4">
        <f>IF($J293='Auto Responses'!$J$11,1,IF(AND($J293="",$I293='Auto Responses'!$J$11),1,0))</f>
      </c>
      <c r="O293" s="106">
        <f>IF(OR($E293='Auto Responses'!$L$13,$F$24='Auto Responses'!$J$4,$F293='Auto Responses'!$J$5),'Auto Responses'!$J$5,IF($J293="",$K293,IF($J293='Auto Responses'!$J$13,5,IF($J293='Auto Responses'!$J$12,10,IF($J293='Auto Responses'!$J$11,20,0)))))</f>
      </c>
      <c r="P293" s="106">
        <f>IF(OR($O293='Auto Responses'!$J$5,$L293='Auto Responses'!$J$5),'Auto Responses'!$J$5,$O293*$L293)</f>
      </c>
      <c r="Q293" s="106">
        <f t="shared" si="32"/>
      </c>
      <c r="R293" s="106">
        <f t="shared" si="37"/>
      </c>
      <c r="S293" s="106">
        <f t="shared" si="33"/>
      </c>
      <c r="T293" s="106">
        <f t="shared" si="34"/>
      </c>
      <c r="U293" s="106">
        <f t="shared" si="38"/>
      </c>
      <c r="V293" s="106">
        <f t="shared" si="35"/>
      </c>
    </row>
    <row r="294" spans="1:22" ht="60" x14ac:dyDescent="0.2">
      <c r="A294" s="4">
        <f>Questions!$A294</f>
      </c>
      <c r="B294" s="4">
        <f t="shared" si="36"/>
      </c>
      <c r="C294" s="4">
        <f>VLOOKUP($A294,Questions!$A$3:$L$333,2,0)&amp;""</f>
      </c>
      <c r="D294" s="4">
        <f>VLOOKUP($A294,Questions!$A$3:$L$333,11,0)&amp;""</f>
      </c>
      <c r="E294" s="4">
        <f>VLOOKUP($A294,Questions!$A$3:$L$333,12,0)&amp;""</f>
      </c>
      <c r="F294" s="4">
        <f>VLOOKUP($A294,'Privacy Analyst Evaluation'!$A$46:$K$120,3,0)&amp;""</f>
      </c>
      <c r="G294" s="4">
        <f>VLOOKUP($A294,'Privacy Analyst Evaluation'!$A$46:$K$120,7,0)&amp;""</f>
      </c>
      <c r="H294" s="4">
        <f>VLOOKUP($A294,'Privacy Analyst Evaluation'!$A$46:$K$120,8,0)&amp;""</f>
      </c>
      <c r="I294" s="4">
        <f>VLOOKUP($A294,'Privacy Analyst Evaluation'!$A$46:$K$120,9,0)&amp;""</f>
      </c>
      <c r="J294" s="4">
        <f>VLOOKUP($A294,'Privacy Analyst Evaluation'!$A$46:$K$120,10,0)&amp;""</f>
      </c>
      <c r="K294" s="4">
        <f>IF($I294='Auto Responses'!$J$11,20,IF($I294='Auto Responses'!$J$13,5,10))</f>
      </c>
      <c r="L294" s="106">
        <f>IF($E294='Auto Responses'!$L$13, 'Auto Responses'!$J$5,IF(AND($D294='Auto Responses'!$J$27,$H294=""),'Auto Responses'!$J$5,IF(AND($D294='Auto Responses'!$J$27,$H294='Auto Responses'!$J$7),1,IF(AND($D294='Auto Responses'!$J$27,$H294='Auto Responses'!$J$8),0,IF(OR(AND($F294=$G294,$H294=""),$H294='Auto Responses'!$J$7),1,0)))))</f>
      </c>
      <c r="M294" s="4">
        <f>VLOOKUP($A294,'Privacy Analyst Evaluation'!$A$46:$K$120,11,0)&amp;""</f>
      </c>
      <c r="N294" s="4">
        <f>IF($J294='Auto Responses'!$J$11,1,IF(AND($J294="",$I294='Auto Responses'!$J$11),1,0))</f>
      </c>
      <c r="O294" s="106">
        <f>IF(OR($E294='Auto Responses'!$L$13,$F$24='Auto Responses'!$J$4,$F294='Auto Responses'!$J$5),'Auto Responses'!$J$5,IF($J294="",$K294,IF($J294='Auto Responses'!$J$13,5,IF($J294='Auto Responses'!$J$12,10,IF($J294='Auto Responses'!$J$11,20,0)))))</f>
      </c>
      <c r="P294" s="106">
        <f>IF(OR($O294='Auto Responses'!$J$5,$L294='Auto Responses'!$J$5),'Auto Responses'!$J$5,$O294*$L294)</f>
      </c>
      <c r="Q294" s="106">
        <f t="shared" si="32"/>
      </c>
      <c r="R294" s="106">
        <f t="shared" si="37"/>
      </c>
      <c r="S294" s="106">
        <f t="shared" si="33"/>
      </c>
      <c r="T294" s="106">
        <f t="shared" si="34"/>
      </c>
      <c r="U294" s="106">
        <f t="shared" si="38"/>
      </c>
      <c r="V294" s="106">
        <f t="shared" si="35"/>
      </c>
    </row>
    <row r="295" spans="1:22" ht="60" x14ac:dyDescent="0.2">
      <c r="A295" s="4">
        <f>Questions!$A295</f>
      </c>
      <c r="B295" s="4">
        <f t="shared" si="36"/>
      </c>
      <c r="C295" s="4">
        <f>VLOOKUP($A295,Questions!$A$3:$L$333,2,0)&amp;""</f>
      </c>
      <c r="D295" s="4">
        <f>VLOOKUP($A295,Questions!$A$3:$L$333,11,0)&amp;""</f>
      </c>
      <c r="E295" s="4">
        <f>VLOOKUP($A295,Questions!$A$3:$L$333,12,0)&amp;""</f>
      </c>
      <c r="F295" s="4">
        <f>VLOOKUP($A295,'Privacy Analyst Evaluation'!$A$46:$K$120,3,0)&amp;""</f>
      </c>
      <c r="G295" s="4">
        <f>VLOOKUP($A295,'Privacy Analyst Evaluation'!$A$46:$K$120,7,0)&amp;""</f>
      </c>
      <c r="H295" s="4">
        <f>VLOOKUP($A295,'Privacy Analyst Evaluation'!$A$46:$K$120,8,0)&amp;""</f>
      </c>
      <c r="I295" s="4">
        <f>VLOOKUP($A295,'Privacy Analyst Evaluation'!$A$46:$K$120,9,0)&amp;""</f>
      </c>
      <c r="J295" s="4">
        <f>VLOOKUP($A295,'Privacy Analyst Evaluation'!$A$46:$K$120,10,0)&amp;""</f>
      </c>
      <c r="K295" s="4">
        <f>IF($I295='Auto Responses'!$J$11,20,IF($I295='Auto Responses'!$J$13,5,10))</f>
      </c>
      <c r="L295" s="106">
        <f>IF($E295='Auto Responses'!$L$13, 'Auto Responses'!$J$5,IF(AND($D295='Auto Responses'!$J$27,$H295=""),'Auto Responses'!$J$5,IF(AND($D295='Auto Responses'!$J$27,$H295='Auto Responses'!$J$7),1,IF(AND($D295='Auto Responses'!$J$27,$H295='Auto Responses'!$J$8),0,IF(OR(AND($F295=$G295,$H295=""),$H295='Auto Responses'!$J$7),1,0)))))</f>
      </c>
      <c r="M295" s="4">
        <f>VLOOKUP($A295,'Privacy Analyst Evaluation'!$A$46:$K$120,11,0)&amp;""</f>
      </c>
      <c r="N295" s="4">
        <f>IF($J295='Auto Responses'!$J$11,1,IF(AND($J295="",$I295='Auto Responses'!$J$11),1,0))</f>
      </c>
      <c r="O295" s="106">
        <f>IF(OR($F$20='Auto Responses'!$J$4,$E295='Auto Responses'!$L$13,$F295='Auto Responses'!$J$5,$F$24='Auto Responses'!$J$4),'Auto Responses'!$J$5,IF($J295="",$K295,IF($J295='Auto Responses'!$J$13,5,IF($J295='Auto Responses'!$J$12,10,IF($J295='Auto Responses'!$J$11,20,0)))))</f>
      </c>
      <c r="P295" s="106">
        <f>IF(OR($O295='Auto Responses'!$J$5,$L295='Auto Responses'!$J$5),'Auto Responses'!$J$5,$O295*$L295)</f>
      </c>
      <c r="Q295" s="106">
        <f t="shared" si="32"/>
      </c>
      <c r="R295" s="106">
        <f t="shared" si="37"/>
      </c>
      <c r="S295" s="106">
        <f t="shared" si="33"/>
      </c>
      <c r="T295" s="106">
        <f t="shared" si="34"/>
      </c>
      <c r="U295" s="106">
        <f t="shared" si="38"/>
      </c>
      <c r="V295" s="106">
        <f t="shared" si="35"/>
      </c>
    </row>
    <row r="296" spans="1:22" ht="60" x14ac:dyDescent="0.2">
      <c r="A296" s="4">
        <f>Questions!$A296</f>
      </c>
      <c r="B296" s="4">
        <f t="shared" si="36"/>
      </c>
      <c r="C296" s="4">
        <f>VLOOKUP($A296,Questions!$A$3:$L$333,2,0)&amp;""</f>
      </c>
      <c r="D296" s="4">
        <f>VLOOKUP($A296,Questions!$A$3:$L$333,11,0)&amp;""</f>
      </c>
      <c r="E296" s="4">
        <f>VLOOKUP($A296,Questions!$A$3:$L$333,12,0)&amp;""</f>
      </c>
      <c r="F296" s="4">
        <f>VLOOKUP($A296,'Privacy Analyst Evaluation'!$A$46:$K$120,3,0)&amp;""</f>
      </c>
      <c r="G296" s="4">
        <f>VLOOKUP($A296,'Privacy Analyst Evaluation'!$A$46:$K$120,7,0)&amp;""</f>
      </c>
      <c r="H296" s="4">
        <f>VLOOKUP($A296,'Privacy Analyst Evaluation'!$A$46:$K$120,8,0)&amp;""</f>
      </c>
      <c r="I296" s="4">
        <f>VLOOKUP($A296,'Privacy Analyst Evaluation'!$A$46:$K$120,9,0)&amp;""</f>
      </c>
      <c r="J296" s="4">
        <f>VLOOKUP($A296,'Privacy Analyst Evaluation'!$A$46:$K$120,10,0)&amp;""</f>
      </c>
      <c r="K296" s="4">
        <f>IF($I296='Auto Responses'!$J$11,20,IF($I296='Auto Responses'!$J$13,5,10))</f>
      </c>
      <c r="L296" s="106">
        <f>IF($E296='Auto Responses'!$L$13, 'Auto Responses'!$J$5,IF(AND($D296='Auto Responses'!$J$27,$H296=""),'Auto Responses'!$J$5,IF(AND($D296='Auto Responses'!$J$27,$H296='Auto Responses'!$J$7),1,IF(AND($D296='Auto Responses'!$J$27,$H296='Auto Responses'!$J$8),0,IF(OR(AND($F296=$G296,$H296=""),$H296='Auto Responses'!$J$7),1,0)))))</f>
      </c>
      <c r="M296" s="4">
        <f>VLOOKUP($A296,'Privacy Analyst Evaluation'!$A$46:$K$120,11,0)&amp;""</f>
      </c>
      <c r="N296" s="4">
        <f>IF($J296='Auto Responses'!$J$11,1,IF(AND($J296="",$I296='Auto Responses'!$J$11),1,0))</f>
      </c>
      <c r="O296" s="106">
        <f>IF(OR($F$20='Auto Responses'!$J$4,$E296='Auto Responses'!$L$13,$F296='Auto Responses'!$J$5,$F$24='Auto Responses'!$J$4),'Auto Responses'!$J$5,IF($J296="",$K296,IF($J296='Auto Responses'!$J$13,5,IF($J296='Auto Responses'!$J$12,10,IF($J296='Auto Responses'!$J$11,20,0)))))</f>
      </c>
      <c r="P296" s="106">
        <f>IF(OR($O296='Auto Responses'!$J$5,$L296='Auto Responses'!$J$5),'Auto Responses'!$J$5,$O296*$L296)</f>
      </c>
      <c r="Q296" s="106">
        <f t="shared" si="32"/>
      </c>
      <c r="R296" s="106">
        <f t="shared" si="37"/>
      </c>
      <c r="S296" s="106">
        <f t="shared" si="33"/>
      </c>
      <c r="T296" s="106">
        <f t="shared" si="34"/>
      </c>
      <c r="U296" s="106">
        <f t="shared" si="38"/>
      </c>
      <c r="V296" s="106">
        <f t="shared" si="35"/>
      </c>
    </row>
    <row r="297" spans="1:22" ht="60" x14ac:dyDescent="0.2">
      <c r="A297" s="4">
        <f>Questions!$A297</f>
      </c>
      <c r="B297" s="4">
        <f t="shared" si="36"/>
      </c>
      <c r="C297" s="4">
        <f>VLOOKUP($A297,Questions!$A$3:$L$333,2,0)&amp;""</f>
      </c>
      <c r="D297" s="4">
        <f>VLOOKUP($A297,Questions!$A$3:$L$333,11,0)&amp;""</f>
      </c>
      <c r="E297" s="4">
        <f>VLOOKUP($A297,Questions!$A$3:$L$333,12,0)&amp;""</f>
      </c>
      <c r="F297" s="4">
        <f>VLOOKUP($A297,'Privacy Analyst Evaluation'!$A$46:$K$120,3,0)&amp;""</f>
      </c>
      <c r="G297" s="4">
        <f>VLOOKUP($A297,'Privacy Analyst Evaluation'!$A$46:$K$120,7,0)&amp;""</f>
      </c>
      <c r="H297" s="4">
        <f>VLOOKUP($A297,'Privacy Analyst Evaluation'!$A$46:$K$120,8,0)&amp;""</f>
      </c>
      <c r="I297" s="4">
        <f>VLOOKUP($A297,'Privacy Analyst Evaluation'!$A$46:$K$120,9,0)&amp;""</f>
      </c>
      <c r="J297" s="4">
        <f>VLOOKUP($A297,'Privacy Analyst Evaluation'!$A$46:$K$120,10,0)&amp;""</f>
      </c>
      <c r="K297" s="4">
        <f>IF($I297='Auto Responses'!$J$11,20,IF($I297='Auto Responses'!$J$13,5,10))</f>
      </c>
      <c r="L297" s="106">
        <f>IF($E297='Auto Responses'!$L$13, 'Auto Responses'!$J$5,IF(AND($D297='Auto Responses'!$J$27,$H297=""),'Auto Responses'!$J$5,IF(AND($D297='Auto Responses'!$J$27,$H297='Auto Responses'!$J$7),1,IF(AND($D297='Auto Responses'!$J$27,$H297='Auto Responses'!$J$8),0,IF(OR(AND($F297=$G297,$H297=""),$H297='Auto Responses'!$J$7),1,0)))))</f>
      </c>
      <c r="M297" s="4">
        <f>VLOOKUP($A297,'Privacy Analyst Evaluation'!$A$46:$K$120,11,0)&amp;""</f>
      </c>
      <c r="N297" s="4">
        <f>IF($J297='Auto Responses'!$J$11,1,IF(AND($J297="",$I297='Auto Responses'!$J$11),1,0))</f>
      </c>
      <c r="O297" s="106">
        <f>IF(OR($F$20='Auto Responses'!$J$4,$E297='Auto Responses'!$L$13,$F297='Auto Responses'!$J$5,$F$24='Auto Responses'!$J$4),'Auto Responses'!$J$5,IF($J297="",$K297,IF($J297='Auto Responses'!$J$13,5,IF($J297='Auto Responses'!$J$12,10,IF($J297='Auto Responses'!$J$11,20,0)))))</f>
      </c>
      <c r="P297" s="106">
        <f>IF(OR($O297='Auto Responses'!$J$5,$L297='Auto Responses'!$J$5),'Auto Responses'!$J$5,$O297*$L297)</f>
      </c>
      <c r="Q297" s="106">
        <f t="shared" si="32"/>
      </c>
      <c r="R297" s="106">
        <f t="shared" si="37"/>
      </c>
      <c r="S297" s="106">
        <f t="shared" si="33"/>
      </c>
      <c r="T297" s="106">
        <f t="shared" si="34"/>
      </c>
      <c r="U297" s="106">
        <f t="shared" si="38"/>
      </c>
      <c r="V297" s="106">
        <f t="shared" si="35"/>
      </c>
    </row>
    <row r="298" spans="1:22" ht="60" x14ac:dyDescent="0.2">
      <c r="A298" s="4">
        <f>Questions!$A298</f>
      </c>
      <c r="B298" s="4">
        <f t="shared" si="36"/>
      </c>
      <c r="C298" s="4">
        <f>VLOOKUP($A298,Questions!$A$3:$L$333,2,0)&amp;""</f>
      </c>
      <c r="D298" s="4">
        <f>VLOOKUP($A298,Questions!$A$3:$L$333,11,0)&amp;""</f>
      </c>
      <c r="E298" s="4">
        <f>VLOOKUP($A298,Questions!$A$3:$L$333,12,0)&amp;""</f>
      </c>
      <c r="F298" s="4">
        <f>VLOOKUP($A298,'Privacy Analyst Evaluation'!$A$46:$K$120,3,0)&amp;""</f>
      </c>
      <c r="G298" s="4">
        <f>VLOOKUP($A298,'Privacy Analyst Evaluation'!$A$46:$K$120,7,0)&amp;""</f>
      </c>
      <c r="H298" s="4">
        <f>VLOOKUP($A298,'Privacy Analyst Evaluation'!$A$46:$K$120,8,0)&amp;""</f>
      </c>
      <c r="I298" s="4">
        <f>VLOOKUP($A298,'Privacy Analyst Evaluation'!$A$46:$K$120,9,0)&amp;""</f>
      </c>
      <c r="J298" s="4">
        <f>VLOOKUP($A298,'Privacy Analyst Evaluation'!$A$46:$K$120,10,0)&amp;""</f>
      </c>
      <c r="K298" s="4">
        <f>IF($I298='Auto Responses'!$J$11,20,IF($I298='Auto Responses'!$J$13,5,10))</f>
      </c>
      <c r="L298" s="106">
        <f>IF($E298='Auto Responses'!$L$13, 'Auto Responses'!$J$5,IF(AND($D298='Auto Responses'!$J$27,$H298=""),'Auto Responses'!$J$5,IF(AND($D298='Auto Responses'!$J$27,$H298='Auto Responses'!$J$7),1,IF(AND($D298='Auto Responses'!$J$27,$H298='Auto Responses'!$J$8),0,IF(OR(AND($F298=$G298,$H298=""),$H298='Auto Responses'!$J$7),1,0)))))</f>
      </c>
      <c r="M298" s="4">
        <f>VLOOKUP($A298,'Privacy Analyst Evaluation'!$A$46:$K$120,11,0)&amp;""</f>
      </c>
      <c r="N298" s="4">
        <f>IF($J298='Auto Responses'!$J$11,1,IF(AND($J298="",$I298='Auto Responses'!$J$11),1,0))</f>
      </c>
      <c r="O298" s="106">
        <f>IF(OR($F$20='Auto Responses'!$J$4,$E298='Auto Responses'!$L$13,$F298='Auto Responses'!$J$5,$F$24='Auto Responses'!$J$4),'Auto Responses'!$J$5,IF($J298="",$K298,IF($J298='Auto Responses'!$J$13,5,IF($J298='Auto Responses'!$J$12,10,IF($J298='Auto Responses'!$J$11,20,0)))))</f>
      </c>
      <c r="P298" s="106">
        <f>IF(OR($O298='Auto Responses'!$J$5,$L298='Auto Responses'!$J$5),'Auto Responses'!$J$5,$O298*$L298)</f>
      </c>
      <c r="Q298" s="106">
        <f t="shared" si="32"/>
      </c>
      <c r="R298" s="106">
        <f t="shared" si="37"/>
      </c>
      <c r="S298" s="106">
        <f t="shared" si="33"/>
      </c>
      <c r="T298" s="106">
        <f t="shared" si="34"/>
      </c>
      <c r="U298" s="106">
        <f t="shared" si="38"/>
      </c>
      <c r="V298" s="106">
        <f t="shared" si="35"/>
      </c>
    </row>
    <row r="299" spans="1:22" ht="60" x14ac:dyDescent="0.2">
      <c r="A299" s="4">
        <f>Questions!$A299</f>
      </c>
      <c r="B299" s="4">
        <f t="shared" si="36"/>
      </c>
      <c r="C299" s="4">
        <f>VLOOKUP($A299,Questions!$A$3:$L$333,2,0)&amp;""</f>
      </c>
      <c r="D299" s="4">
        <f>VLOOKUP($A299,Questions!$A$3:$L$333,11,0)&amp;""</f>
      </c>
      <c r="E299" s="4">
        <f>VLOOKUP($A299,Questions!$A$3:$L$333,12,0)&amp;""</f>
      </c>
      <c r="F299" s="4">
        <f>VLOOKUP($A299,'Privacy Analyst Evaluation'!$A$46:$K$120,3,0)&amp;""</f>
      </c>
      <c r="G299" s="4">
        <f>VLOOKUP($A299,'Privacy Analyst Evaluation'!$A$46:$K$120,7,0)&amp;""</f>
      </c>
      <c r="H299" s="4">
        <f>VLOOKUP($A299,'Privacy Analyst Evaluation'!$A$46:$K$120,8,0)&amp;""</f>
      </c>
      <c r="I299" s="4">
        <f>VLOOKUP($A299,'Privacy Analyst Evaluation'!$A$46:$K$120,9,0)&amp;""</f>
      </c>
      <c r="J299" s="4">
        <f>VLOOKUP($A299,'Privacy Analyst Evaluation'!$A$46:$K$120,10,0)&amp;""</f>
      </c>
      <c r="K299" s="4">
        <f>IF($I299='Auto Responses'!$J$11,20,IF($I299='Auto Responses'!$J$13,5,10))</f>
      </c>
      <c r="L299" s="106">
        <f>IF($E299='Auto Responses'!$L$13, 'Auto Responses'!$J$5,IF(AND($D299='Auto Responses'!$J$27,$H299=""),'Auto Responses'!$J$5,IF(AND($D299='Auto Responses'!$J$27,$H299='Auto Responses'!$J$7),1,IF(AND($D299='Auto Responses'!$J$27,$H299='Auto Responses'!$J$8),0,IF(OR(AND($F299=$G299,$H299=""),$H299='Auto Responses'!$J$7),1,0)))))</f>
      </c>
      <c r="M299" s="4">
        <f>VLOOKUP($A299,'Privacy Analyst Evaluation'!$A$46:$K$120,11,0)&amp;""</f>
      </c>
      <c r="N299" s="4">
        <f>IF($J299='Auto Responses'!$J$11,1,IF(AND($J299="",$I299='Auto Responses'!$J$11),1,0))</f>
      </c>
      <c r="O299" s="106">
        <f>IF(OR($F$20='Auto Responses'!$J$4,$E299='Auto Responses'!$L$13,$F299='Auto Responses'!$J$5,$F$24='Auto Responses'!$J$4),'Auto Responses'!$J$5,IF($J299="",$K299,IF($J299='Auto Responses'!$J$13,5,IF($J299='Auto Responses'!$J$12,10,IF($J299='Auto Responses'!$J$11,20,0)))))</f>
      </c>
      <c r="P299" s="106">
        <f>IF(OR($O299='Auto Responses'!$J$5,$L299='Auto Responses'!$J$5),'Auto Responses'!$J$5,$O299*$L299)</f>
      </c>
      <c r="Q299" s="106">
        <f t="shared" si="32"/>
      </c>
      <c r="R299" s="106">
        <f t="shared" si="37"/>
      </c>
      <c r="S299" s="106">
        <f t="shared" si="33"/>
      </c>
      <c r="T299" s="106">
        <f t="shared" si="34"/>
      </c>
      <c r="U299" s="106">
        <f t="shared" si="38"/>
      </c>
      <c r="V299" s="106">
        <f t="shared" si="35"/>
      </c>
    </row>
    <row r="300" spans="1:22" ht="60" x14ac:dyDescent="0.2">
      <c r="A300" s="4">
        <f>Questions!$A300</f>
      </c>
      <c r="B300" s="4">
        <f t="shared" si="36"/>
      </c>
      <c r="C300" s="4">
        <f>VLOOKUP($A300,Questions!$A$3:$L$333,2,0)&amp;""</f>
      </c>
      <c r="D300" s="4">
        <f>VLOOKUP($A300,Questions!$A$3:$L$333,11,0)&amp;""</f>
      </c>
      <c r="E300" s="4">
        <f>VLOOKUP($A300,Questions!$A$3:$L$333,12,0)&amp;""</f>
      </c>
      <c r="F300" s="4">
        <f>VLOOKUP($A300,'Privacy Analyst Evaluation'!$A$46:$K$120,3,0)&amp;""</f>
      </c>
      <c r="G300" s="4">
        <f>VLOOKUP($A300,'Privacy Analyst Evaluation'!$A$46:$K$120,7,0)&amp;""</f>
      </c>
      <c r="H300" s="4">
        <f>VLOOKUP($A300,'Privacy Analyst Evaluation'!$A$46:$K$120,8,0)&amp;""</f>
      </c>
      <c r="I300" s="4">
        <f>VLOOKUP($A300,'Privacy Analyst Evaluation'!$A$46:$K$120,9,0)&amp;""</f>
      </c>
      <c r="J300" s="4">
        <f>VLOOKUP($A300,'Privacy Analyst Evaluation'!$A$46:$K$120,10,0)&amp;""</f>
      </c>
      <c r="K300" s="4">
        <f>IF($I300='Auto Responses'!$J$11,20,IF($I300='Auto Responses'!$J$13,5,10))</f>
      </c>
      <c r="L300" s="106">
        <f>IF($E300='Auto Responses'!$L$13, 'Auto Responses'!$J$5,IF(AND($D300='Auto Responses'!$J$27,$H300=""),'Auto Responses'!$J$5,IF(AND($D300='Auto Responses'!$J$27,$H300='Auto Responses'!$J$7),1,IF(AND($D300='Auto Responses'!$J$27,$H300='Auto Responses'!$J$8),0,IF(OR(AND($F300=$G300,$H300=""),$H300='Auto Responses'!$J$7),1,0)))))</f>
      </c>
      <c r="M300" s="4">
        <f>VLOOKUP($A300,'Privacy Analyst Evaluation'!$A$46:$K$120,11,0)&amp;""</f>
      </c>
      <c r="N300" s="4">
        <f>IF($J300='Auto Responses'!$J$11,1,IF(AND($J300="",$I300='Auto Responses'!$J$11),1,0))</f>
      </c>
      <c r="O300" s="106">
        <f>IF(OR($F$20='Auto Responses'!$J$4,$E300='Auto Responses'!$L$13,$F300='Auto Responses'!$J$5,$F$24='Auto Responses'!$J$4),'Auto Responses'!$J$5,IF($J300="",$K300,IF($J300='Auto Responses'!$J$13,5,IF($J300='Auto Responses'!$J$12,10,IF($J300='Auto Responses'!$J$11,20,0)))))</f>
      </c>
      <c r="P300" s="106">
        <f>IF(OR($O300='Auto Responses'!$J$5,$L300='Auto Responses'!$J$5),'Auto Responses'!$J$5,$O300*$L300)</f>
      </c>
      <c r="Q300" s="106">
        <f t="shared" si="32"/>
      </c>
      <c r="R300" s="106">
        <f t="shared" si="37"/>
      </c>
      <c r="S300" s="106">
        <f t="shared" si="33"/>
      </c>
      <c r="T300" s="106">
        <f t="shared" si="34"/>
      </c>
      <c r="U300" s="106">
        <f t="shared" si="38"/>
      </c>
      <c r="V300" s="106">
        <f t="shared" si="35"/>
      </c>
    </row>
    <row r="301" spans="1:22" ht="60" x14ac:dyDescent="0.2">
      <c r="A301" s="4">
        <f>Questions!$A301</f>
      </c>
      <c r="B301" s="4">
        <f t="shared" si="36"/>
      </c>
      <c r="C301" s="4">
        <f>VLOOKUP($A301,Questions!$A$3:$L$333,2,0)&amp;""</f>
      </c>
      <c r="D301" s="4">
        <f>VLOOKUP($A301,Questions!$A$3:$L$333,11,0)&amp;""</f>
      </c>
      <c r="E301" s="4">
        <f>VLOOKUP($A301,Questions!$A$3:$L$333,12,0)&amp;""</f>
      </c>
      <c r="F301" s="4">
        <f>VLOOKUP($A301,'Privacy Analyst Evaluation'!$A$46:$K$120,3,0)&amp;""</f>
      </c>
      <c r="G301" s="4">
        <f>VLOOKUP($A301,'Privacy Analyst Evaluation'!$A$46:$K$120,7,0)&amp;""</f>
      </c>
      <c r="H301" s="4">
        <f>VLOOKUP($A301,'Privacy Analyst Evaluation'!$A$46:$K$120,8,0)&amp;""</f>
      </c>
      <c r="I301" s="4">
        <f>VLOOKUP($A301,'Privacy Analyst Evaluation'!$A$46:$K$120,9,0)&amp;""</f>
      </c>
      <c r="J301" s="4">
        <f>VLOOKUP($A301,'Privacy Analyst Evaluation'!$A$46:$K$120,10,0)&amp;""</f>
      </c>
      <c r="K301" s="4">
        <f>IF($I301='Auto Responses'!$J$11,20,IF($I301='Auto Responses'!$J$13,5,10))</f>
      </c>
      <c r="L301" s="106">
        <f>IF($E301='Auto Responses'!$L$13, 'Auto Responses'!$J$5,IF(AND($D301='Auto Responses'!$J$27,$H301=""),'Auto Responses'!$J$5,IF(AND($D301='Auto Responses'!$J$27,$H301='Auto Responses'!$J$7),1,IF(AND($D301='Auto Responses'!$J$27,$H301='Auto Responses'!$J$8),0,IF(OR(AND($F301=$G301,$H301=""),$H301='Auto Responses'!$J$7),1,0)))))</f>
      </c>
      <c r="M301" s="4">
        <f>VLOOKUP($A301,'Privacy Analyst Evaluation'!$A$46:$K$120,11,0)&amp;""</f>
      </c>
      <c r="N301" s="4">
        <f>IF($J301='Auto Responses'!$J$11,1,IF(AND($J301="",$I301='Auto Responses'!$J$11),1,0))</f>
      </c>
      <c r="O301" s="106">
        <f>IF(OR($F$20='Auto Responses'!$J$4,$E301='Auto Responses'!$L$13,$F301='Auto Responses'!$J$5,$F$24='Auto Responses'!$J$4),'Auto Responses'!$J$5,IF($J301="",$K301,IF($J301='Auto Responses'!$J$13,5,IF($J301='Auto Responses'!$J$12,10,IF($J301='Auto Responses'!$J$11,20,0)))))</f>
      </c>
      <c r="P301" s="106">
        <f>IF(OR($O301='Auto Responses'!$J$5,$L301='Auto Responses'!$J$5),'Auto Responses'!$J$5,$O301*$L301)</f>
      </c>
      <c r="Q301" s="106">
        <f t="shared" si="32"/>
      </c>
      <c r="R301" s="106">
        <f t="shared" si="37"/>
      </c>
      <c r="S301" s="106">
        <f t="shared" si="33"/>
      </c>
      <c r="T301" s="106">
        <f t="shared" si="34"/>
      </c>
      <c r="U301" s="106">
        <f t="shared" si="38"/>
      </c>
      <c r="V301" s="106">
        <f t="shared" si="35"/>
      </c>
    </row>
    <row r="302" spans="1:22" ht="60" x14ac:dyDescent="0.2">
      <c r="A302" s="4">
        <f>Questions!$A302</f>
      </c>
      <c r="B302" s="4">
        <f t="shared" si="36"/>
      </c>
      <c r="C302" s="4">
        <f>VLOOKUP($A302,Questions!$A$3:$L$333,2,0)&amp;""</f>
      </c>
      <c r="D302" s="4">
        <f>VLOOKUP($A302,Questions!$A$3:$L$333,11,0)&amp;""</f>
      </c>
      <c r="E302" s="4">
        <f>VLOOKUP($A302,Questions!$A$3:$L$333,12,0)&amp;""</f>
      </c>
      <c r="F302" s="4">
        <f>VLOOKUP($A302,'Privacy Analyst Evaluation'!$A$46:$K$120,3,0)&amp;""</f>
      </c>
      <c r="G302" s="4">
        <f>VLOOKUP($A302,'Privacy Analyst Evaluation'!$A$46:$K$120,7,0)&amp;""</f>
      </c>
      <c r="H302" s="4">
        <f>VLOOKUP($A302,'Privacy Analyst Evaluation'!$A$46:$K$120,8,0)&amp;""</f>
      </c>
      <c r="I302" s="4">
        <f>VLOOKUP($A302,'Privacy Analyst Evaluation'!$A$46:$K$120,9,0)&amp;""</f>
      </c>
      <c r="J302" s="4">
        <f>VLOOKUP($A302,'Privacy Analyst Evaluation'!$A$46:$K$120,10,0)&amp;""</f>
      </c>
      <c r="K302" s="4">
        <f>IF($I302='Auto Responses'!$J$11,20,IF($I302='Auto Responses'!$J$13,5,10))</f>
      </c>
      <c r="L302" s="106">
        <f>IF($E302='Auto Responses'!$L$13, 'Auto Responses'!$J$5,IF(AND($D302='Auto Responses'!$J$27,$H302=""),'Auto Responses'!$J$5,IF(AND($D302='Auto Responses'!$J$27,$H302='Auto Responses'!$J$7),1,IF(AND($D302='Auto Responses'!$J$27,$H302='Auto Responses'!$J$8),0,IF(OR(AND($F302=$G302,$H302=""),$H302='Auto Responses'!$J$7),1,0)))))</f>
      </c>
      <c r="M302" s="4">
        <f>VLOOKUP($A302,'Privacy Analyst Evaluation'!$A$46:$K$120,11,0)&amp;""</f>
      </c>
      <c r="N302" s="4">
        <f>IF($J302='Auto Responses'!$J$11,1,IF(AND($J302="",$I302='Auto Responses'!$J$11),1,0))</f>
      </c>
      <c r="O302" s="106">
        <f>IF(OR($F$20='Auto Responses'!$J$4,$E302='Auto Responses'!$L$13,$F302='Auto Responses'!$J$5,$F$24='Auto Responses'!$J$4),'Auto Responses'!$J$5,IF($J302="",$K302,IF($J302='Auto Responses'!$J$13,5,IF($J302='Auto Responses'!$J$12,10,IF($J302='Auto Responses'!$J$11,20,0)))))</f>
      </c>
      <c r="P302" s="106">
        <f>IF(OR($O302='Auto Responses'!$J$5,$L302='Auto Responses'!$J$5),'Auto Responses'!$J$5,$O302*$L302)</f>
      </c>
      <c r="Q302" s="106">
        <f t="shared" si="32"/>
      </c>
      <c r="R302" s="106">
        <f t="shared" si="37"/>
      </c>
      <c r="S302" s="106">
        <f t="shared" si="33"/>
      </c>
      <c r="T302" s="106">
        <f t="shared" si="34"/>
      </c>
      <c r="U302" s="106">
        <f t="shared" si="38"/>
      </c>
      <c r="V302" s="106">
        <f t="shared" si="35"/>
      </c>
    </row>
    <row r="303" spans="1:22" ht="60" x14ac:dyDescent="0.2">
      <c r="A303" s="4">
        <f>Questions!$A303</f>
      </c>
      <c r="B303" s="4">
        <f t="shared" si="36"/>
      </c>
      <c r="C303" s="4">
        <f>VLOOKUP($A303,Questions!$A$3:$L$333,2,0)&amp;""</f>
      </c>
      <c r="D303" s="4">
        <f>VLOOKUP($A303,Questions!$A$3:$L$333,11,0)&amp;""</f>
      </c>
      <c r="E303" s="4">
        <f>VLOOKUP($A303,Questions!$A$3:$L$333,12,0)&amp;""</f>
      </c>
      <c r="F303" s="4">
        <f>VLOOKUP($A303,'Institution Evaluation'!$A$56:$K$345,3,0)&amp;""</f>
      </c>
      <c r="G303" s="4">
        <f>VLOOKUP($A303,'Institution Evaluation'!$A$56:$K$345,7,0)&amp;""</f>
      </c>
      <c r="H303" s="4">
        <f>VLOOKUP($A303,'Institution Evaluation'!$A$56:$K$345,8,0)&amp;""</f>
      </c>
      <c r="I303" s="4">
        <f>VLOOKUP($A303,'Institution Evaluation'!$A$56:$K$345,9,0)&amp;""</f>
      </c>
      <c r="J303" s="4">
        <f>VLOOKUP($A303,'Institution Evaluation'!$A$56:$K$345,10,0)&amp;""</f>
      </c>
      <c r="K303" s="4">
        <f>IF($I303='Auto Responses'!$J$11,20,IF($I303='Auto Responses'!$J$13,5,10))</f>
      </c>
      <c r="L303" s="106">
        <f>IF($E303='Auto Responses'!$L$13, 'Auto Responses'!$J$5,IF(AND($D303='Auto Responses'!$J$27,$H303=""),'Auto Responses'!$J$5,IF(AND($D303='Auto Responses'!$J$27,$H303='Auto Responses'!$J$7),1,IF(AND($D303='Auto Responses'!$J$27,$H303='Auto Responses'!$J$8),0,IF(OR(AND($F303=$G303,$H303=""),$H303='Auto Responses'!$J$7),1,0)))))</f>
      </c>
      <c r="M303" s="4">
        <f>VLOOKUP($A303,'Institution Evaluation'!$A$56:$K$345,11,0)&amp;""</f>
      </c>
      <c r="N303" s="4">
        <f>IF($J303='Auto Responses'!$J$11,1,IF(AND($J303="",$I303='Auto Responses'!$J$11),1,0))</f>
      </c>
      <c r="O303" s="106">
        <f>IF(OR($F$20='Auto Responses'!$J$4,$E303='Auto Responses'!$L$13,$F303='Auto Responses'!$J$5),'Auto Responses'!$J$5,IF($J303="",$K303,IF($J303='Auto Responses'!$J$13,5,IF($J303='Auto Responses'!$J$12,10,IF($J303='Auto Responses'!$J$11,20,0)))))</f>
      </c>
      <c r="P303" s="106">
        <f>IF(OR($O303='Auto Responses'!$J$5,$L303='Auto Responses'!$J$5),'Auto Responses'!$J$5,$O303*$L303)</f>
      </c>
      <c r="Q303" s="106">
        <f t="shared" si="32"/>
      </c>
      <c r="R303" s="106">
        <f t="shared" si="37"/>
      </c>
      <c r="S303" s="106">
        <f t="shared" si="33"/>
      </c>
      <c r="T303" s="106">
        <f t="shared" si="34"/>
      </c>
      <c r="U303" s="106">
        <f t="shared" si="38"/>
      </c>
      <c r="V303" s="106">
        <f t="shared" si="35"/>
      </c>
    </row>
    <row r="304" spans="1:22" ht="60" x14ac:dyDescent="0.2">
      <c r="A304" s="4">
        <f>Questions!$A304</f>
      </c>
      <c r="B304" s="4">
        <f t="shared" si="36"/>
      </c>
      <c r="C304" s="4">
        <f>VLOOKUP($A304,Questions!$A$3:$L$333,2,0)&amp;""</f>
      </c>
      <c r="D304" s="4">
        <f>VLOOKUP($A304,Questions!$A$3:$L$333,11,0)&amp;""</f>
      </c>
      <c r="E304" s="4">
        <f>VLOOKUP($A304,Questions!$A$3:$L$333,12,0)&amp;""</f>
      </c>
      <c r="F304" s="4">
        <f>VLOOKUP($A304,'Institution Evaluation'!$A$56:$K$345,3,0)&amp;""</f>
      </c>
      <c r="G304" s="4">
        <f>VLOOKUP($A304,'Institution Evaluation'!$A$56:$K$345,7,0)&amp;""</f>
      </c>
      <c r="H304" s="4">
        <f>VLOOKUP($A304,'Institution Evaluation'!$A$56:$K$345,8,0)&amp;""</f>
      </c>
      <c r="I304" s="4">
        <f>VLOOKUP($A304,'Institution Evaluation'!$A$56:$K$345,9,0)&amp;""</f>
      </c>
      <c r="J304" s="4">
        <f>VLOOKUP($A304,'Institution Evaluation'!$A$56:$K$345,10,0)&amp;""</f>
      </c>
      <c r="K304" s="4">
        <f>IF($I304='Auto Responses'!$J$11,20,IF($I304='Auto Responses'!$J$13,5,10))</f>
      </c>
      <c r="L304" s="106">
        <f>IF($E304='Auto Responses'!$L$13, 'Auto Responses'!$J$5,IF(AND($D304='Auto Responses'!$J$27,$H304=""),'Auto Responses'!$J$5,IF(AND($D304='Auto Responses'!$J$27,$H304='Auto Responses'!$J$7),1,IF(AND($D304='Auto Responses'!$J$27,$H304='Auto Responses'!$J$8),0,IF(OR(AND($F304=$G304,$H304=""),$H304='Auto Responses'!$J$7),1,0)))))</f>
      </c>
      <c r="M304" s="4">
        <f>VLOOKUP($A304,'Institution Evaluation'!$A$56:$K$345,11,0)&amp;""</f>
      </c>
      <c r="N304" s="4">
        <f>IF($J304='Auto Responses'!$J$11,1,IF(AND($J304="",$I304='Auto Responses'!$J$11),1,0))</f>
      </c>
      <c r="O304" s="106">
        <f>IF(OR($F$20='Auto Responses'!$J$4,$E304='Auto Responses'!$L$13,$F304='Auto Responses'!$J$5),'Auto Responses'!$J$5,IF($J304="",$K304,IF($J304='Auto Responses'!$J$13,5,IF($J304='Auto Responses'!$J$12,10,IF($J304='Auto Responses'!$J$11,20,0)))))</f>
      </c>
      <c r="P304" s="106">
        <f>IF(OR($O304='Auto Responses'!$J$5,$L304='Auto Responses'!$J$5),'Auto Responses'!$J$5,$O304*$L304)</f>
      </c>
      <c r="Q304" s="106">
        <f t="shared" si="32"/>
      </c>
      <c r="R304" s="106">
        <f t="shared" si="37"/>
      </c>
      <c r="S304" s="106">
        <f t="shared" si="33"/>
      </c>
      <c r="T304" s="106">
        <f t="shared" si="34"/>
      </c>
      <c r="U304" s="106">
        <f t="shared" si="38"/>
      </c>
      <c r="V304" s="106">
        <f t="shared" si="35"/>
      </c>
    </row>
    <row r="305" spans="1:22" ht="60" x14ac:dyDescent="0.2">
      <c r="A305" s="4">
        <f>Questions!$A305</f>
      </c>
      <c r="B305" s="4">
        <f t="shared" si="36"/>
      </c>
      <c r="C305" s="4">
        <f>VLOOKUP($A305,Questions!$A$3:$L$333,2,0)&amp;""</f>
      </c>
      <c r="D305" s="4">
        <f>VLOOKUP($A305,Questions!$A$3:$L$333,11,0)&amp;""</f>
      </c>
      <c r="E305" s="4">
        <f>VLOOKUP($A305,Questions!$A$3:$L$333,12,0)&amp;""</f>
      </c>
      <c r="F305" s="4">
        <f>VLOOKUP($A305,'Institution Evaluation'!$A$56:$K$345,3,0)&amp;""</f>
      </c>
      <c r="G305" s="4">
        <f>VLOOKUP($A305,'Institution Evaluation'!$A$56:$K$345,7,0)&amp;""</f>
      </c>
      <c r="H305" s="4">
        <f>VLOOKUP($A305,'Institution Evaluation'!$A$56:$K$345,8,0)&amp;""</f>
      </c>
      <c r="I305" s="4">
        <f>VLOOKUP($A305,'Institution Evaluation'!$A$56:$K$345,9,0)&amp;""</f>
      </c>
      <c r="J305" s="4">
        <f>VLOOKUP($A305,'Institution Evaluation'!$A$56:$K$345,10,0)&amp;""</f>
      </c>
      <c r="K305" s="4">
        <f>IF($I305='Auto Responses'!$J$11,20,IF($I305='Auto Responses'!$J$13,5,10))</f>
      </c>
      <c r="L305" s="106">
        <f>IF($E305='Auto Responses'!$L$13, 'Auto Responses'!$J$5,IF(AND($D305='Auto Responses'!$J$27,$H305=""),'Auto Responses'!$J$5,IF(AND($D305='Auto Responses'!$J$27,$H305='Auto Responses'!$J$7),1,IF(AND($D305='Auto Responses'!$J$27,$H305='Auto Responses'!$J$8),0,IF(OR(AND($F305=$G305,$H305=""),$H305='Auto Responses'!$J$7),1,0)))))</f>
      </c>
      <c r="M305" s="4">
        <f>VLOOKUP($A305,'Institution Evaluation'!$A$56:$K$345,11,0)&amp;""</f>
      </c>
      <c r="N305" s="4">
        <f>IF($J305='Auto Responses'!$J$11,1,IF(AND($J305="",$I305='Auto Responses'!$J$11),1,0))</f>
      </c>
      <c r="O305" s="106">
        <f>IF(OR($F$20='Auto Responses'!$J$4,$E305='Auto Responses'!$L$13,$F305='Auto Responses'!$J$5),'Auto Responses'!$J$5,IF($J305="",$K305,IF($J305='Auto Responses'!$J$13,5,IF($J305='Auto Responses'!$J$12,10,IF($J305='Auto Responses'!$J$11,20,0)))))</f>
      </c>
      <c r="P305" s="106">
        <f>IF(OR($O305='Auto Responses'!$J$5,$L305='Auto Responses'!$J$5),'Auto Responses'!$J$5,$O305*$L305)</f>
      </c>
      <c r="Q305" s="106">
        <f t="shared" si="32"/>
      </c>
      <c r="R305" s="106">
        <f t="shared" si="37"/>
      </c>
      <c r="S305" s="106">
        <f t="shared" si="33"/>
      </c>
      <c r="T305" s="106">
        <f t="shared" si="34"/>
      </c>
      <c r="U305" s="106">
        <f t="shared" si="38"/>
      </c>
      <c r="V305" s="106">
        <f t="shared" si="35"/>
      </c>
    </row>
    <row r="306" spans="1:22" ht="60" x14ac:dyDescent="0.2">
      <c r="A306" s="4">
        <f>Questions!$A306</f>
      </c>
      <c r="B306" s="4">
        <f t="shared" si="36"/>
      </c>
      <c r="C306" s="4">
        <f>VLOOKUP($A306,Questions!$A$3:$L$333,2,0)&amp;""</f>
      </c>
      <c r="D306" s="4">
        <f>VLOOKUP($A306,Questions!$A$3:$L$333,11,0)&amp;""</f>
      </c>
      <c r="E306" s="4">
        <f>VLOOKUP($A306,Questions!$A$3:$L$333,12,0)&amp;""</f>
      </c>
      <c r="F306" s="4">
        <f>VLOOKUP($A306,'Institution Evaluation'!$A$56:$K$345,3,0)&amp;""</f>
      </c>
      <c r="G306" s="4">
        <f>VLOOKUP($A306,'Institution Evaluation'!$A$56:$K$345,7,0)&amp;""</f>
      </c>
      <c r="H306" s="4">
        <f>VLOOKUP($A306,'Institution Evaluation'!$A$56:$K$345,8,0)&amp;""</f>
      </c>
      <c r="I306" s="4">
        <f>VLOOKUP($A306,'Institution Evaluation'!$A$56:$K$345,9,0)&amp;""</f>
      </c>
      <c r="J306" s="4">
        <f>VLOOKUP($A306,'Institution Evaluation'!$A$56:$K$345,10,0)&amp;""</f>
      </c>
      <c r="K306" s="4">
        <f>IF($I306='Auto Responses'!$J$11,20,IF($I306='Auto Responses'!$J$13,5,10))</f>
      </c>
      <c r="L306" s="106">
        <f>IF($E306='Auto Responses'!$L$13, 'Auto Responses'!$J$5,IF(AND($D306='Auto Responses'!$J$27,$H306=""),'Auto Responses'!$J$5,IF(AND($D306='Auto Responses'!$J$27,$H306='Auto Responses'!$J$7),1,IF(AND($D306='Auto Responses'!$J$27,$H306='Auto Responses'!$J$8),0,IF(OR(AND($F306=$G306,$H306=""),$H306='Auto Responses'!$J$7),1,0)))))</f>
      </c>
      <c r="M306" s="4">
        <f>VLOOKUP($A306,'Institution Evaluation'!$A$56:$K$345,11,0)&amp;""</f>
      </c>
      <c r="N306" s="4">
        <f>IF($J306='Auto Responses'!$J$11,1,IF(AND($J306="",$I306='Auto Responses'!$J$11),1,0))</f>
      </c>
      <c r="O306" s="106">
        <f>IF(OR($F$20='Auto Responses'!$J$4,$E306='Auto Responses'!$L$13,$F306='Auto Responses'!$J$5),'Auto Responses'!$J$5,IF($J306="",$K306,IF($J306='Auto Responses'!$J$13,5,IF($J306='Auto Responses'!$J$12,10,IF($J306='Auto Responses'!$J$11,20,0)))))</f>
      </c>
      <c r="P306" s="106">
        <f>IF(OR($O306='Auto Responses'!$J$5,$L306='Auto Responses'!$J$5),'Auto Responses'!$J$5,$O306*$L306)</f>
      </c>
      <c r="Q306" s="106">
        <f t="shared" si="32"/>
      </c>
      <c r="R306" s="106">
        <f t="shared" si="37"/>
      </c>
      <c r="S306" s="106">
        <f t="shared" si="33"/>
      </c>
      <c r="T306" s="106">
        <f t="shared" si="34"/>
      </c>
      <c r="U306" s="106">
        <f t="shared" si="38"/>
      </c>
      <c r="V306" s="106">
        <f t="shared" si="35"/>
      </c>
    </row>
    <row r="307" spans="1:22" ht="60" x14ac:dyDescent="0.2">
      <c r="A307" s="4">
        <f>Questions!$A307</f>
      </c>
      <c r="B307" s="4">
        <f t="shared" si="36"/>
      </c>
      <c r="C307" s="4">
        <f>VLOOKUP($A307,Questions!$A$3:$L$333,2,0)&amp;""</f>
      </c>
      <c r="D307" s="4">
        <f>VLOOKUP($A307,Questions!$A$3:$L$333,11,0)&amp;""</f>
      </c>
      <c r="E307" s="4">
        <f>VLOOKUP($A307,Questions!$A$3:$L$333,12,0)&amp;""</f>
      </c>
      <c r="F307" s="4">
        <f>VLOOKUP($A307,'Institution Evaluation'!$A$56:$K$345,3,0)&amp;""</f>
      </c>
      <c r="G307" s="4">
        <f>VLOOKUP($A307,'Institution Evaluation'!$A$56:$K$345,7,0)&amp;""</f>
      </c>
      <c r="H307" s="4">
        <f>VLOOKUP($A307,'Institution Evaluation'!$A$56:$K$345,8,0)&amp;""</f>
      </c>
      <c r="I307" s="4">
        <f>VLOOKUP($A307,'Institution Evaluation'!$A$56:$K$345,9,0)&amp;""</f>
      </c>
      <c r="J307" s="4">
        <f>VLOOKUP($A307,'Institution Evaluation'!$A$56:$K$345,10,0)&amp;""</f>
      </c>
      <c r="K307" s="4">
        <f>IF($I307='Auto Responses'!$J$11,20,IF($I307='Auto Responses'!$J$13,5,10))</f>
      </c>
      <c r="L307" s="106">
        <f>IF($E307='Auto Responses'!$L$13, 'Auto Responses'!$J$5,IF(AND($D307='Auto Responses'!$J$27,$H307=""),'Auto Responses'!$J$5,IF(AND($D307='Auto Responses'!$J$27,$H307='Auto Responses'!$J$7),1,IF(AND($D307='Auto Responses'!$J$27,$H307='Auto Responses'!$J$8),0,IF(OR(AND($F307=$G307,$H307=""),$H307='Auto Responses'!$J$7),1,0)))))</f>
      </c>
      <c r="M307" s="4">
        <f>VLOOKUP($A307,'Institution Evaluation'!$A$56:$K$345,11,0)&amp;""</f>
      </c>
      <c r="N307" s="4">
        <f>IF($J307='Auto Responses'!$J$11,1,IF(AND($J307="",$I307='Auto Responses'!$J$11),1,0))</f>
      </c>
      <c r="O307" s="106">
        <f>IF(OR($F$20='Auto Responses'!$J$4,$E307='Auto Responses'!$L$13,$F307='Auto Responses'!$J$5),'Auto Responses'!$J$5,IF($J307="",$K307,IF($J307='Auto Responses'!$J$13,5,IF($J307='Auto Responses'!$J$12,10,IF($J307='Auto Responses'!$J$11,20,0)))))</f>
      </c>
      <c r="P307" s="106">
        <f>IF(OR($O307='Auto Responses'!$J$5,$L307='Auto Responses'!$J$5),'Auto Responses'!$J$5,$O307*$L307)</f>
      </c>
      <c r="Q307" s="106">
        <f t="shared" si="32"/>
      </c>
      <c r="R307" s="106">
        <f t="shared" si="37"/>
      </c>
      <c r="S307" s="106">
        <f t="shared" si="33"/>
      </c>
      <c r="T307" s="106">
        <f t="shared" si="34"/>
      </c>
      <c r="U307" s="106">
        <f t="shared" si="38"/>
      </c>
      <c r="V307" s="106">
        <f t="shared" si="35"/>
      </c>
    </row>
    <row r="308" spans="1:22" ht="409.6" x14ac:dyDescent="0.2">
      <c r="A308" s="4">
        <f>Questions!$A308</f>
      </c>
      <c r="B308" s="4">
        <f t="shared" si="36"/>
      </c>
      <c r="C308" s="4">
        <f>VLOOKUP($A308,Questions!$A$3:$L$333,2,0)&amp;""</f>
      </c>
      <c r="D308" s="4">
        <f>VLOOKUP($A308,Questions!$A$3:$L$333,11,0)&amp;""</f>
      </c>
      <c r="E308" s="4">
        <f>VLOOKUP($A308,Questions!$A$3:$L$333,12,0)&amp;""</f>
      </c>
      <c r="F308" s="4">
        <f>VLOOKUP($A308,'Institution Evaluation'!$A$56:$K$345,3,0)&amp;""</f>
      </c>
      <c r="G308" s="4">
        <f>VLOOKUP($A308,'Institution Evaluation'!$A$56:$K$345,7,0)&amp;""</f>
      </c>
      <c r="H308" s="4">
        <f>VLOOKUP($A308,'Institution Evaluation'!$A$56:$K$345,8,0)&amp;""</f>
      </c>
      <c r="I308" s="4">
        <f>VLOOKUP($A308,'Institution Evaluation'!$A$56:$K$345,9,0)&amp;""</f>
      </c>
      <c r="J308" s="4">
        <f>VLOOKUP($A308,'Institution Evaluation'!$A$56:$K$345,10,0)&amp;""</f>
      </c>
      <c r="K308" s="4">
        <f>IF($I308='Auto Responses'!$J$11,20,IF($I308='Auto Responses'!$J$13,5,10))</f>
      </c>
      <c r="L308" s="106">
        <f>IF($E308='Auto Responses'!$L$13, 'Auto Responses'!$J$5,IF(AND($D308='Auto Responses'!$J$27,$H308=""),'Auto Responses'!$J$5,IF(AND($D308='Auto Responses'!$J$27,$H308='Auto Responses'!$J$7),1,IF(AND($D308='Auto Responses'!$J$27,$H308='Auto Responses'!$J$8),0,IF(OR(AND($F308=$G308,$H308=""),$H308='Auto Responses'!$J$7),1,0)))))</f>
      </c>
      <c r="M308" s="4">
        <f>VLOOKUP($A308,'Institution Evaluation'!$A$56:$K$345,11,0)&amp;""</f>
      </c>
      <c r="N308" s="4">
        <f>IF($J308='Auto Responses'!$J$11,1,IF(AND($J308="",$I308='Auto Responses'!$J$11),1,0))</f>
      </c>
      <c r="O308" s="106">
        <f>IF(OR($F$20='Auto Responses'!$J$4,$E308='Auto Responses'!$L$13,$F308='Auto Responses'!$J$5),'Auto Responses'!$J$5,IF($J308="",$K308,IF($J308='Auto Responses'!$J$13,5,IF($J308='Auto Responses'!$J$12,10,IF($J308='Auto Responses'!$J$11,20,0)))))</f>
      </c>
      <c r="P308" s="106">
        <f>IF(OR($O308='Auto Responses'!$J$5,$L308='Auto Responses'!$J$5),'Auto Responses'!$J$5,$O308*$L308)</f>
      </c>
      <c r="Q308" s="106">
        <f t="shared" si="32"/>
      </c>
      <c r="R308" s="106">
        <f t="shared" si="37"/>
      </c>
      <c r="S308" s="106">
        <f t="shared" si="33"/>
      </c>
      <c r="T308" s="106">
        <f t="shared" si="34"/>
      </c>
      <c r="U308" s="106">
        <f t="shared" si="38"/>
      </c>
      <c r="V308" s="106">
        <f t="shared" si="35"/>
      </c>
    </row>
    <row r="309" spans="1:22" ht="60" x14ac:dyDescent="0.2">
      <c r="A309" s="4">
        <f>Questions!$A309</f>
      </c>
      <c r="B309" s="4">
        <f t="shared" si="36"/>
      </c>
      <c r="C309" s="4">
        <f>VLOOKUP($A309,Questions!$A$3:$L$333,2,0)&amp;""</f>
      </c>
      <c r="D309" s="4">
        <f>VLOOKUP($A309,Questions!$A$3:$L$333,11,0)&amp;""</f>
      </c>
      <c r="E309" s="4">
        <f>VLOOKUP($A309,Questions!$A$3:$L$333,12,0)&amp;""</f>
      </c>
      <c r="F309" s="4">
        <f>VLOOKUP($A309,'Institution Evaluation'!$A$56:$K$345,3,0)&amp;""</f>
      </c>
      <c r="G309" s="4">
        <f>VLOOKUP($A309,'Institution Evaluation'!$A$56:$K$345,7,0)&amp;""</f>
      </c>
      <c r="H309" s="4">
        <f>VLOOKUP($A309,'Institution Evaluation'!$A$56:$K$345,8,0)&amp;""</f>
      </c>
      <c r="I309" s="4">
        <f>VLOOKUP($A309,'Institution Evaluation'!$A$56:$K$345,9,0)&amp;""</f>
      </c>
      <c r="J309" s="4">
        <f>VLOOKUP($A309,'Institution Evaluation'!$A$56:$K$345,10,0)&amp;""</f>
      </c>
      <c r="K309" s="4">
        <f>IF($I309='Auto Responses'!$J$11,20,IF($I309='Auto Responses'!$J$13,5,10))</f>
      </c>
      <c r="L309" s="106">
        <f>IF($E309='Auto Responses'!$L$13, 'Auto Responses'!$J$5,IF(AND($D309='Auto Responses'!$J$27,$H309=""),'Auto Responses'!$J$5,IF(AND($D309='Auto Responses'!$J$27,$H309='Auto Responses'!$J$7),1,IF(AND($D309='Auto Responses'!$J$27,$H309='Auto Responses'!$J$8),0,IF(OR(AND($F309=$G309,$H309=""),$H309='Auto Responses'!$J$7),1,0)))))</f>
      </c>
      <c r="M309" s="4">
        <f>VLOOKUP($A309,'Institution Evaluation'!$A$56:$K$345,11,0)&amp;""</f>
      </c>
      <c r="N309" s="4">
        <f>IF($J309='Auto Responses'!$J$11,1,IF(AND($J309="",$I309='Auto Responses'!$J$11),1,0))</f>
      </c>
      <c r="O309" s="106">
        <f>IF(OR($F$20='Auto Responses'!$J$4,$E309='Auto Responses'!$L$13,$F309='Auto Responses'!$J$5),'Auto Responses'!$J$5,IF($J309="",$K309,IF($J309='Auto Responses'!$J$13,5,IF($J309='Auto Responses'!$J$12,10,IF($J309='Auto Responses'!$J$11,20,0)))))</f>
      </c>
      <c r="P309" s="106">
        <f>IF(OR($O309='Auto Responses'!$J$5,$L309='Auto Responses'!$J$5),'Auto Responses'!$J$5,$O309*$L309)</f>
      </c>
      <c r="Q309" s="106">
        <f t="shared" si="32"/>
      </c>
      <c r="R309" s="106">
        <f t="shared" si="37"/>
      </c>
      <c r="S309" s="106">
        <f t="shared" si="33"/>
      </c>
      <c r="T309" s="106">
        <f t="shared" si="34"/>
      </c>
      <c r="U309" s="106">
        <f t="shared" si="38"/>
      </c>
      <c r="V309" s="106">
        <f t="shared" si="35"/>
      </c>
    </row>
    <row r="310" spans="1:22" ht="75" x14ac:dyDescent="0.2">
      <c r="A310" s="4">
        <f>Questions!$A310</f>
      </c>
      <c r="B310" s="4">
        <f t="shared" si="36"/>
      </c>
      <c r="C310" s="4">
        <f>VLOOKUP($A310,Questions!$A$3:$L$333,2,0)&amp;""</f>
      </c>
      <c r="D310" s="4">
        <f>VLOOKUP($A310,Questions!$A$3:$L$333,11,0)&amp;""</f>
      </c>
      <c r="E310" s="4">
        <f>VLOOKUP($A310,Questions!$A$3:$L$333,12,0)&amp;""</f>
      </c>
      <c r="F310" s="4">
        <f>VLOOKUP($A310,'Institution Evaluation'!$A$56:$K$345,3,0)&amp;""</f>
      </c>
      <c r="G310" s="4">
        <f>VLOOKUP($A310,'Institution Evaluation'!$A$56:$K$345,7,0)&amp;""</f>
      </c>
      <c r="H310" s="4">
        <f>VLOOKUP($A310,'Institution Evaluation'!$A$56:$K$345,8,0)&amp;""</f>
      </c>
      <c r="I310" s="4">
        <f>VLOOKUP($A310,'Institution Evaluation'!$A$56:$K$345,9,0)&amp;""</f>
      </c>
      <c r="J310" s="4">
        <f>VLOOKUP($A310,'Institution Evaluation'!$A$56:$K$345,10,0)&amp;""</f>
      </c>
      <c r="K310" s="4">
        <f>IF($I310='Auto Responses'!$J$11,20,IF($I310='Auto Responses'!$J$13,5,10))</f>
      </c>
      <c r="L310" s="106">
        <f>IF($E310='Auto Responses'!$L$13, 'Auto Responses'!$J$5,IF(AND($D310='Auto Responses'!$J$27,$H310=""),'Auto Responses'!$J$5,IF(AND($D310='Auto Responses'!$J$27,$H310='Auto Responses'!$J$7),1,IF(AND($D310='Auto Responses'!$J$27,$H310='Auto Responses'!$J$8),0,IF(OR(AND($F310=$G310,$H310=""),$H310='Auto Responses'!$J$7),1,0)))))</f>
      </c>
      <c r="M310" s="4">
        <f>VLOOKUP($A310,'Institution Evaluation'!$A$56:$K$345,11,0)&amp;""</f>
      </c>
      <c r="N310" s="4">
        <f>IF($J310='Auto Responses'!$J$11,1,IF(AND($J310="",$I310='Auto Responses'!$J$11),1,0))</f>
      </c>
      <c r="O310" s="106">
        <f>IF(OR($F$20='Auto Responses'!$J$4,$E310='Auto Responses'!$L$13,$F310='Auto Responses'!$J$5),'Auto Responses'!$J$5,IF($J310="",$K310,IF($J310='Auto Responses'!$J$13,5,IF($J310='Auto Responses'!$J$12,10,IF($J310='Auto Responses'!$J$11,20,0)))))</f>
      </c>
      <c r="P310" s="106">
        <f>IF(OR($O310='Auto Responses'!$J$5,$L310='Auto Responses'!$J$5),'Auto Responses'!$J$5,$O310*$L310)</f>
      </c>
      <c r="Q310" s="106">
        <f t="shared" si="32"/>
      </c>
      <c r="R310" s="106">
        <f t="shared" si="37"/>
      </c>
      <c r="S310" s="106">
        <f t="shared" si="33"/>
      </c>
      <c r="T310" s="106">
        <f t="shared" si="34"/>
      </c>
      <c r="U310" s="106">
        <f t="shared" si="38"/>
      </c>
      <c r="V310" s="106">
        <f t="shared" si="35"/>
      </c>
    </row>
    <row r="311" spans="1:22" ht="60" x14ac:dyDescent="0.2">
      <c r="A311" s="4">
        <f>Questions!$A311</f>
      </c>
      <c r="B311" s="4">
        <f t="shared" si="36"/>
      </c>
      <c r="C311" s="4">
        <f>VLOOKUP($A311,Questions!$A$3:$L$333,2,0)&amp;""</f>
      </c>
      <c r="D311" s="4">
        <f>VLOOKUP($A311,Questions!$A$3:$L$333,11,0)&amp;""</f>
      </c>
      <c r="E311" s="4">
        <f>VLOOKUP($A311,Questions!$A$3:$L$333,12,0)&amp;""</f>
      </c>
      <c r="F311" s="4">
        <f>VLOOKUP($A311,'Institution Evaluation'!$A$56:$K$345,3,0)&amp;""</f>
      </c>
      <c r="G311" s="4">
        <f>VLOOKUP($A311,'Institution Evaluation'!$A$56:$K$345,7,0)&amp;""</f>
      </c>
      <c r="H311" s="4">
        <f>VLOOKUP($A311,'Institution Evaluation'!$A$56:$K$345,8,0)&amp;""</f>
      </c>
      <c r="I311" s="4">
        <f>VLOOKUP($A311,'Institution Evaluation'!$A$56:$K$345,9,0)&amp;""</f>
      </c>
      <c r="J311" s="4">
        <f>VLOOKUP($A311,'Institution Evaluation'!$A$56:$K$345,10,0)&amp;""</f>
      </c>
      <c r="K311" s="4">
        <f>IF($I311='Auto Responses'!$J$11,20,IF($I311='Auto Responses'!$J$13,5,10))</f>
      </c>
      <c r="L311" s="106">
        <f>IF($E311='Auto Responses'!$L$13, 'Auto Responses'!$J$5,IF(AND($D311='Auto Responses'!$J$27,$H311=""),'Auto Responses'!$J$5,IF(AND($D311='Auto Responses'!$J$27,$H311='Auto Responses'!$J$7),1,IF(AND($D311='Auto Responses'!$J$27,$H311='Auto Responses'!$J$8),0,IF(OR(AND($F311=$G311,$H311=""),$H311='Auto Responses'!$J$7),1,0)))))</f>
      </c>
      <c r="M311" s="4">
        <f>VLOOKUP($A311,'Institution Evaluation'!$A$56:$K$345,11,0)&amp;""</f>
      </c>
      <c r="N311" s="4">
        <f>IF($J311='Auto Responses'!$J$11,1,IF(AND($J311="",$I311='Auto Responses'!$J$11),1,0))</f>
      </c>
      <c r="O311" s="106">
        <f>IF(OR($F$20='Auto Responses'!$J$4,$E311='Auto Responses'!$L$13,$F311='Auto Responses'!$J$5),'Auto Responses'!$J$5,IF($J311="",$K311,IF($J311='Auto Responses'!$J$13,5,IF($J311='Auto Responses'!$J$12,10,IF($J311='Auto Responses'!$J$11,20,0)))))</f>
      </c>
      <c r="P311" s="106">
        <f>IF(OR($O311='Auto Responses'!$J$5,$L311='Auto Responses'!$J$5),'Auto Responses'!$J$5,$O311*$L311)</f>
      </c>
      <c r="Q311" s="106">
        <f t="shared" si="32"/>
      </c>
      <c r="R311" s="106">
        <f t="shared" si="37"/>
      </c>
      <c r="S311" s="106">
        <f t="shared" si="33"/>
      </c>
      <c r="T311" s="106">
        <f t="shared" si="34"/>
      </c>
      <c r="U311" s="106">
        <f t="shared" si="38"/>
      </c>
      <c r="V311" s="106">
        <f t="shared" si="35"/>
      </c>
    </row>
    <row r="312" spans="1:22" ht="60" x14ac:dyDescent="0.2">
      <c r="A312" s="4">
        <f>Questions!$A312</f>
      </c>
      <c r="B312" s="4">
        <f t="shared" si="36"/>
      </c>
      <c r="C312" s="4">
        <f>VLOOKUP($A312,Questions!$A$3:$L$333,2,0)&amp;""</f>
      </c>
      <c r="D312" s="4">
        <f>VLOOKUP($A312,Questions!$A$3:$L$333,11,0)&amp;""</f>
      </c>
      <c r="E312" s="4">
        <f>VLOOKUP($A312,Questions!$A$3:$L$333,12,0)&amp;""</f>
      </c>
      <c r="F312" s="4">
        <f>VLOOKUP($A312,'Institution Evaluation'!$A$56:$K$345,3,0)&amp;""</f>
      </c>
      <c r="G312" s="4">
        <f>VLOOKUP($A312,'Institution Evaluation'!$A$56:$K$345,7,0)&amp;""</f>
      </c>
      <c r="H312" s="4">
        <f>VLOOKUP($A312,'Institution Evaluation'!$A$56:$K$345,8,0)&amp;""</f>
      </c>
      <c r="I312" s="4">
        <f>VLOOKUP($A312,'Institution Evaluation'!$A$56:$K$345,9,0)&amp;""</f>
      </c>
      <c r="J312" s="4">
        <f>VLOOKUP($A312,'Institution Evaluation'!$A$56:$K$345,10,0)&amp;""</f>
      </c>
      <c r="K312" s="4">
        <f>IF($I312='Auto Responses'!$J$11,20,IF($I312='Auto Responses'!$J$13,5,10))</f>
      </c>
      <c r="L312" s="106">
        <f>IF($E312='Auto Responses'!$L$13, 'Auto Responses'!$J$5,IF(AND($D312='Auto Responses'!$J$27,$H312=""),'Auto Responses'!$J$5,IF(AND($D312='Auto Responses'!$J$27,$H312='Auto Responses'!$J$7),1,IF(AND($D312='Auto Responses'!$J$27,$H312='Auto Responses'!$J$8),0,IF(OR(AND($F312=$G312,$H312=""),$H312='Auto Responses'!$J$7),1,0)))))</f>
      </c>
      <c r="M312" s="4">
        <f>VLOOKUP($A312,'Institution Evaluation'!$A$56:$K$345,11,0)&amp;""</f>
      </c>
      <c r="N312" s="4">
        <f>IF($J312='Auto Responses'!$J$11,1,IF(AND($J312="",$I312='Auto Responses'!$J$11),1,0))</f>
      </c>
      <c r="O312" s="106">
        <f>IF(OR($F$20='Auto Responses'!$J$4,$E312='Auto Responses'!$L$13,$F312='Auto Responses'!$J$5),'Auto Responses'!$J$5,IF($J312="",$K312,IF($J312='Auto Responses'!$J$13,5,IF($J312='Auto Responses'!$J$12,10,IF($J312='Auto Responses'!$J$11,20,0)))))</f>
      </c>
      <c r="P312" s="106">
        <f>IF(OR($O312='Auto Responses'!$J$5,$L312='Auto Responses'!$J$5),'Auto Responses'!$J$5,$O312*$L312)</f>
      </c>
      <c r="Q312" s="106">
        <f t="shared" si="32"/>
      </c>
      <c r="R312" s="106">
        <f t="shared" si="37"/>
      </c>
      <c r="S312" s="106">
        <f t="shared" si="33"/>
      </c>
      <c r="T312" s="106">
        <f t="shared" si="34"/>
      </c>
      <c r="U312" s="106">
        <f t="shared" si="38"/>
      </c>
      <c r="V312" s="106">
        <f t="shared" si="35"/>
      </c>
    </row>
    <row r="313" spans="1:22" ht="60" x14ac:dyDescent="0.2">
      <c r="A313" s="4">
        <f>Questions!$A313</f>
      </c>
      <c r="B313" s="4">
        <f t="shared" si="36"/>
      </c>
      <c r="C313" s="4">
        <f>VLOOKUP($A313,Questions!$A$3:$L$333,2,0)&amp;""</f>
      </c>
      <c r="D313" s="4">
        <f>VLOOKUP($A313,Questions!$A$3:$L$333,11,0)&amp;""</f>
      </c>
      <c r="E313" s="4">
        <f>VLOOKUP($A313,Questions!$A$3:$L$333,12,0)&amp;""</f>
      </c>
      <c r="F313" s="4">
        <f>VLOOKUP($A313,'Institution Evaluation'!$A$56:$K$345,3,0)&amp;""</f>
      </c>
      <c r="G313" s="4">
        <f>VLOOKUP($A313,'Institution Evaluation'!$A$56:$K$345,7,0)&amp;""</f>
      </c>
      <c r="H313" s="4">
        <f>VLOOKUP($A313,'Institution Evaluation'!$A$56:$K$345,8,0)&amp;""</f>
      </c>
      <c r="I313" s="4">
        <f>VLOOKUP($A313,'Institution Evaluation'!$A$56:$K$345,9,0)&amp;""</f>
      </c>
      <c r="J313" s="4">
        <f>VLOOKUP($A313,'Institution Evaluation'!$A$56:$K$345,10,0)&amp;""</f>
      </c>
      <c r="K313" s="4">
        <f>IF($I313='Auto Responses'!$J$11,20,IF($I313='Auto Responses'!$J$13,5,10))</f>
      </c>
      <c r="L313" s="106">
        <f>IF($E313='Auto Responses'!$L$13, 'Auto Responses'!$J$5,IF(AND($D313='Auto Responses'!$J$27,$H313=""),'Auto Responses'!$J$5,IF(AND($D313='Auto Responses'!$J$27,$H313='Auto Responses'!$J$7),1,IF(AND($D313='Auto Responses'!$J$27,$H313='Auto Responses'!$J$8),0,IF(OR(AND($F313=$G313,$H313=""),$H313='Auto Responses'!$J$7),1,0)))))</f>
      </c>
      <c r="M313" s="4">
        <f>VLOOKUP($A313,'Institution Evaluation'!$A$56:$K$345,11,0)&amp;""</f>
      </c>
      <c r="N313" s="4">
        <f>IF($J313='Auto Responses'!$J$11,1,IF(AND($J313="",$I313='Auto Responses'!$J$11),1,0))</f>
      </c>
      <c r="O313" s="106">
        <f>IF(OR($F$20='Auto Responses'!$J$4,$E313='Auto Responses'!$L$13,$F313='Auto Responses'!$J$5),'Auto Responses'!$J$5,IF($J313="",$K313,IF($J313='Auto Responses'!$J$13,5,IF($J313='Auto Responses'!$J$12,10,IF($J313='Auto Responses'!$J$11,20,0)))))</f>
      </c>
      <c r="P313" s="106">
        <f>IF(OR($O313='Auto Responses'!$J$5,$L313='Auto Responses'!$J$5),'Auto Responses'!$J$5,$O313*$L313)</f>
      </c>
      <c r="Q313" s="106">
        <f t="shared" si="32"/>
      </c>
      <c r="R313" s="106">
        <f t="shared" si="37"/>
      </c>
      <c r="S313" s="106">
        <f t="shared" si="33"/>
      </c>
      <c r="T313" s="106">
        <f t="shared" si="34"/>
      </c>
      <c r="U313" s="106">
        <f t="shared" si="38"/>
      </c>
      <c r="V313" s="106">
        <f t="shared" si="35"/>
      </c>
    </row>
    <row r="314" spans="1:22" ht="60" x14ac:dyDescent="0.2">
      <c r="A314" s="4">
        <f>Questions!$A314</f>
      </c>
      <c r="B314" s="4">
        <f t="shared" si="36"/>
      </c>
      <c r="C314" s="4">
        <f>VLOOKUP($A314,Questions!$A$3:$L$333,2,0)&amp;""</f>
      </c>
      <c r="D314" s="4">
        <f>VLOOKUP($A314,Questions!$A$3:$L$333,11,0)&amp;""</f>
      </c>
      <c r="E314" s="4">
        <f>VLOOKUP($A314,Questions!$A$3:$L$333,12,0)&amp;""</f>
      </c>
      <c r="F314" s="4">
        <f>VLOOKUP($A314,'Institution Evaluation'!$A$56:$K$345,3,0)&amp;""</f>
      </c>
      <c r="G314" s="4">
        <f>VLOOKUP($A314,'Institution Evaluation'!$A$56:$K$345,7,0)&amp;""</f>
      </c>
      <c r="H314" s="4">
        <f>VLOOKUP($A314,'Institution Evaluation'!$A$56:$K$345,8,0)&amp;""</f>
      </c>
      <c r="I314" s="4">
        <f>VLOOKUP($A314,'Institution Evaluation'!$A$56:$K$345,9,0)&amp;""</f>
      </c>
      <c r="J314" s="4">
        <f>VLOOKUP($A314,'Institution Evaluation'!$A$56:$K$345,10,0)&amp;""</f>
      </c>
      <c r="K314" s="4">
        <f>IF($I314='Auto Responses'!$J$11,20,IF($I314='Auto Responses'!$J$13,5,10))</f>
      </c>
      <c r="L314" s="106">
        <f>IF($E314='Auto Responses'!$L$13, 'Auto Responses'!$J$5,IF(AND($D314='Auto Responses'!$J$27,$H314=""),'Auto Responses'!$J$5,IF(AND($D314='Auto Responses'!$J$27,$H314='Auto Responses'!$J$7),1,IF(AND($D314='Auto Responses'!$J$27,$H314='Auto Responses'!$J$8),0,IF(OR(AND($F314=$G314,$H314=""),$H314='Auto Responses'!$J$7),1,0)))))</f>
      </c>
      <c r="M314" s="4">
        <f>VLOOKUP($A314,'Institution Evaluation'!$A$56:$K$345,11,0)&amp;""</f>
      </c>
      <c r="N314" s="4">
        <f>IF($J314='Auto Responses'!$J$11,1,IF(AND($J314="",$I314='Auto Responses'!$J$11),1,0))</f>
      </c>
      <c r="O314" s="106">
        <f>IF(OR($F$20='Auto Responses'!$J$4,$E314='Auto Responses'!$L$13,$F314='Auto Responses'!$J$5),'Auto Responses'!$J$5,IF($J314="",$K314,IF($J314='Auto Responses'!$J$13,5,IF($J314='Auto Responses'!$J$12,10,IF($J314='Auto Responses'!$J$11,20,0)))))</f>
      </c>
      <c r="P314" s="106">
        <f>IF(OR($O314='Auto Responses'!$J$5,$L314='Auto Responses'!$J$5),'Auto Responses'!$J$5,$O314*$L314)</f>
      </c>
      <c r="Q314" s="106">
        <f t="shared" si="32"/>
      </c>
      <c r="R314" s="106">
        <f t="shared" si="37"/>
      </c>
      <c r="S314" s="106">
        <f t="shared" si="33"/>
      </c>
      <c r="T314" s="106">
        <f t="shared" si="34"/>
      </c>
      <c r="U314" s="106">
        <f t="shared" si="38"/>
      </c>
      <c r="V314" s="106">
        <f t="shared" si="35"/>
      </c>
    </row>
    <row r="315" spans="1:22" ht="60" x14ac:dyDescent="0.2">
      <c r="A315" s="4">
        <f>Questions!$A315</f>
      </c>
      <c r="B315" s="4">
        <f t="shared" si="36"/>
      </c>
      <c r="C315" s="4">
        <f>VLOOKUP($A315,Questions!$A$3:$L$333,2,0)&amp;""</f>
      </c>
      <c r="D315" s="4">
        <f>VLOOKUP($A315,Questions!$A$3:$L$333,11,0)&amp;""</f>
      </c>
      <c r="E315" s="4">
        <f>VLOOKUP($A315,Questions!$A$3:$L$333,12,0)&amp;""</f>
      </c>
      <c r="F315" s="4">
        <f>VLOOKUP($A315,'Institution Evaluation'!$A$56:$K$345,3,0)&amp;""</f>
      </c>
      <c r="G315" s="4">
        <f>VLOOKUP($A315,'Institution Evaluation'!$A$56:$K$345,7,0)&amp;""</f>
      </c>
      <c r="H315" s="4">
        <f>VLOOKUP($A315,'Institution Evaluation'!$A$56:$K$345,8,0)&amp;""</f>
      </c>
      <c r="I315" s="4">
        <f>VLOOKUP($A315,'Institution Evaluation'!$A$56:$K$345,9,0)&amp;""</f>
      </c>
      <c r="J315" s="4">
        <f>VLOOKUP($A315,'Institution Evaluation'!$A$56:$K$345,10,0)&amp;""</f>
      </c>
      <c r="K315" s="4">
        <f>IF($I315='Auto Responses'!$J$11,20,IF($I315='Auto Responses'!$J$13,5,10))</f>
      </c>
      <c r="L315" s="106">
        <f>IF($E315='Auto Responses'!$L$13, 'Auto Responses'!$J$5,IF(AND($D315='Auto Responses'!$J$27,$H315=""),'Auto Responses'!$J$5,IF(AND($D315='Auto Responses'!$J$27,$H315='Auto Responses'!$J$7),1,IF(AND($D315='Auto Responses'!$J$27,$H315='Auto Responses'!$J$8),0,IF(OR(AND($F315=$G315,$H315=""),$H315='Auto Responses'!$J$7),1,0)))))</f>
      </c>
      <c r="M315" s="4">
        <f>VLOOKUP($A315,'Institution Evaluation'!$A$56:$K$345,11,0)&amp;""</f>
      </c>
      <c r="N315" s="4">
        <f>IF($J315='Auto Responses'!$J$11,1,IF(AND($J315="",$I315='Auto Responses'!$J$11),1,0))</f>
      </c>
      <c r="O315" s="106">
        <f>IF(OR($F$20='Auto Responses'!$J$4,$E315='Auto Responses'!$L$13,$F315='Auto Responses'!$J$5),'Auto Responses'!$J$5,IF($J315="",$K315,IF($J315='Auto Responses'!$J$13,5,IF($J315='Auto Responses'!$J$12,10,IF($J315='Auto Responses'!$J$11,20,0)))))</f>
      </c>
      <c r="P315" s="106">
        <f>IF(OR($O315='Auto Responses'!$J$5,$L315='Auto Responses'!$J$5),'Auto Responses'!$J$5,$O315*$L315)</f>
      </c>
      <c r="Q315" s="106">
        <f t="shared" si="32"/>
      </c>
      <c r="R315" s="106">
        <f t="shared" si="37"/>
      </c>
      <c r="S315" s="106">
        <f t="shared" si="33"/>
      </c>
      <c r="T315" s="106">
        <f t="shared" si="34"/>
      </c>
      <c r="U315" s="106">
        <f t="shared" si="38"/>
      </c>
      <c r="V315" s="106">
        <f t="shared" si="35"/>
      </c>
    </row>
    <row r="316" spans="1:22" ht="60" x14ac:dyDescent="0.2">
      <c r="A316" s="4">
        <f>Questions!$A316</f>
      </c>
      <c r="B316" s="4">
        <f t="shared" si="36"/>
      </c>
      <c r="C316" s="4">
        <f>VLOOKUP($A316,Questions!$A$3:$L$333,2,0)&amp;""</f>
      </c>
      <c r="D316" s="4">
        <f>VLOOKUP($A316,Questions!$A$3:$L$333,11,0)&amp;""</f>
      </c>
      <c r="E316" s="4">
        <f>VLOOKUP($A316,Questions!$A$3:$L$333,12,0)&amp;""</f>
      </c>
      <c r="F316" s="4">
        <f>VLOOKUP($A316,'Institution Evaluation'!$A$56:$K$345,3,0)&amp;""</f>
      </c>
      <c r="G316" s="4">
        <f>VLOOKUP($A316,'Institution Evaluation'!$A$56:$K$345,7,0)&amp;""</f>
      </c>
      <c r="H316" s="4">
        <f>VLOOKUP($A316,'Institution Evaluation'!$A$56:$K$345,8,0)&amp;""</f>
      </c>
      <c r="I316" s="4">
        <f>VLOOKUP($A316,'Institution Evaluation'!$A$56:$K$345,9,0)&amp;""</f>
      </c>
      <c r="J316" s="4">
        <f>VLOOKUP($A316,'Institution Evaluation'!$A$56:$K$345,10,0)&amp;""</f>
      </c>
      <c r="K316" s="4">
        <f>IF($I316='Auto Responses'!$J$11,20,IF($I316='Auto Responses'!$J$13,5,10))</f>
      </c>
      <c r="L316" s="106">
        <f>IF($E316='Auto Responses'!$L$13, 'Auto Responses'!$J$5,IF(AND($D316='Auto Responses'!$J$27,$H316=""),'Auto Responses'!$J$5,IF(AND($D316='Auto Responses'!$J$27,$H316='Auto Responses'!$J$7),1,IF(AND($D316='Auto Responses'!$J$27,$H316='Auto Responses'!$J$8),0,IF(OR(AND($F316=$G316,$H316=""),$H316='Auto Responses'!$J$7),1,0)))))</f>
      </c>
      <c r="M316" s="4">
        <f>VLOOKUP($A316,'Institution Evaluation'!$A$56:$K$345,11,0)&amp;""</f>
      </c>
      <c r="N316" s="4">
        <f>IF($J316='Auto Responses'!$J$11,1,IF(AND($J316="",$I316='Auto Responses'!$J$11),1,0))</f>
      </c>
      <c r="O316" s="106">
        <f>IF(OR($F$20='Auto Responses'!$J$4,$E316='Auto Responses'!$L$13,$F316='Auto Responses'!$J$5),'Auto Responses'!$J$5,IF($J316="",$K316,IF($J316='Auto Responses'!$J$13,5,IF($J316='Auto Responses'!$J$12,10,IF($J316='Auto Responses'!$J$11,20,0)))))</f>
      </c>
      <c r="P316" s="106">
        <f>IF(OR($O316='Auto Responses'!$J$5,$L316='Auto Responses'!$J$5),'Auto Responses'!$J$5,$O316*$L316)</f>
      </c>
      <c r="Q316" s="106">
        <f t="shared" si="32"/>
      </c>
      <c r="R316" s="106">
        <f t="shared" si="37"/>
      </c>
      <c r="S316" s="106">
        <f t="shared" si="33"/>
      </c>
      <c r="T316" s="106">
        <f t="shared" si="34"/>
      </c>
      <c r="U316" s="106">
        <f t="shared" si="38"/>
      </c>
      <c r="V316" s="106">
        <f t="shared" si="35"/>
      </c>
    </row>
    <row r="317" spans="1:22" ht="60" x14ac:dyDescent="0.2">
      <c r="A317" s="4">
        <f>Questions!$A317</f>
      </c>
      <c r="B317" s="4">
        <f t="shared" si="36"/>
      </c>
      <c r="C317" s="4">
        <f>VLOOKUP($A317,Questions!$A$3:$L$333,2,0)&amp;""</f>
      </c>
      <c r="D317" s="4">
        <f>VLOOKUP($A317,Questions!$A$3:$L$333,11,0)&amp;""</f>
      </c>
      <c r="E317" s="4">
        <f>VLOOKUP($A317,Questions!$A$3:$L$333,12,0)&amp;""</f>
      </c>
      <c r="F317" s="4">
        <f>VLOOKUP($A317,'Institution Evaluation'!$A$56:$K$345,3,0)&amp;""</f>
      </c>
      <c r="G317" s="4">
        <f>VLOOKUP($A317,'Institution Evaluation'!$A$56:$K$345,7,0)&amp;""</f>
      </c>
      <c r="H317" s="4">
        <f>VLOOKUP($A317,'Institution Evaluation'!$A$56:$K$345,8,0)&amp;""</f>
      </c>
      <c r="I317" s="4">
        <f>VLOOKUP($A317,'Institution Evaluation'!$A$56:$K$345,9,0)&amp;""</f>
      </c>
      <c r="J317" s="4">
        <f>VLOOKUP($A317,'Institution Evaluation'!$A$56:$K$345,10,0)&amp;""</f>
      </c>
      <c r="K317" s="4">
        <f>IF($I317='Auto Responses'!$J$11,20,IF($I317='Auto Responses'!$J$13,5,10))</f>
      </c>
      <c r="L317" s="106">
        <f>IF($E317='Auto Responses'!$L$13, 'Auto Responses'!$J$5,IF(AND($D317='Auto Responses'!$J$27,$H317=""),'Auto Responses'!$J$5,IF(AND($D317='Auto Responses'!$J$27,$H317='Auto Responses'!$J$7),1,IF(AND($D317='Auto Responses'!$J$27,$H317='Auto Responses'!$J$8),0,IF(OR(AND($F317=$G317,$H317=""),$H317='Auto Responses'!$J$7),1,0)))))</f>
      </c>
      <c r="M317" s="4">
        <f>VLOOKUP($A317,'Institution Evaluation'!$A$56:$K$345,11,0)&amp;""</f>
      </c>
      <c r="N317" s="4">
        <f>IF($J317='Auto Responses'!$J$11,1,IF(AND($J317="",$I317='Auto Responses'!$J$11),1,0))</f>
      </c>
      <c r="O317" s="106">
        <f>IF(OR($F$20='Auto Responses'!$J$4,$E317='Auto Responses'!$L$13,$F317='Auto Responses'!$J$5),'Auto Responses'!$J$5,IF($J317="",$K317,IF($J317='Auto Responses'!$J$13,5,IF($J317='Auto Responses'!$J$12,10,IF($J317='Auto Responses'!$J$11,20,0)))))</f>
      </c>
      <c r="P317" s="106">
        <f>IF(OR($O317='Auto Responses'!$J$5,$L317='Auto Responses'!$J$5),'Auto Responses'!$J$5,$O317*$L317)</f>
      </c>
      <c r="Q317" s="106">
        <f t="shared" ref="Q317:Q333" si="39">IF(M317="TRUE",1,0)</f>
      </c>
      <c r="R317" s="106">
        <f t="shared" si="37"/>
      </c>
      <c r="S317" s="106">
        <f t="shared" ref="S317:S333" si="40">IF(Q317=0,0,R317)</f>
      </c>
      <c r="T317" s="106">
        <f t="shared" ref="T317:T333" si="41">IF(N317=1,1,0)</f>
      </c>
      <c r="U317" s="106">
        <f t="shared" si="38"/>
      </c>
      <c r="V317" s="106">
        <f t="shared" ref="V317:V333" si="42">IF(T317=0,0,U317)</f>
      </c>
    </row>
    <row r="318" spans="1:22" ht="195" x14ac:dyDescent="0.2">
      <c r="A318" s="4">
        <f>Questions!$A318</f>
      </c>
      <c r="B318" s="4">
        <f t="shared" ref="B318:B333" si="43">LEFT(A318,4)</f>
      </c>
      <c r="C318" s="4">
        <f>VLOOKUP($A318,Questions!$A$3:$L$333,2,0)&amp;""</f>
      </c>
      <c r="D318" s="4">
        <f>VLOOKUP($A318,Questions!$A$3:$L$333,11,0)&amp;""</f>
      </c>
      <c r="E318" s="4">
        <f>VLOOKUP($A318,Questions!$A$3:$L$333,12,0)&amp;""</f>
      </c>
      <c r="F318" s="4">
        <f>VLOOKUP($A318,'Institution Evaluation'!$A$56:$K$345,3,0)&amp;""</f>
      </c>
      <c r="G318" s="4">
        <f>VLOOKUP($A318,'Institution Evaluation'!$A$56:$K$345,7,0)&amp;""</f>
      </c>
      <c r="H318" s="4">
        <f>VLOOKUP($A318,'Institution Evaluation'!$A$56:$K$345,8,0)&amp;""</f>
      </c>
      <c r="I318" s="4">
        <f>VLOOKUP($A318,'Institution Evaluation'!$A$56:$K$345,9,0)&amp;""</f>
      </c>
      <c r="J318" s="4">
        <f>VLOOKUP($A318,'Institution Evaluation'!$A$56:$K$345,10,0)&amp;""</f>
      </c>
      <c r="K318" s="4">
        <f>IF($I318='Auto Responses'!$J$11,20,IF($I318='Auto Responses'!$J$13,5,10))</f>
      </c>
      <c r="L318" s="106">
        <f>IF($E318='Auto Responses'!$L$13, 'Auto Responses'!$J$5,IF(AND($D318='Auto Responses'!$J$27,$H318=""),'Auto Responses'!$J$5,IF(AND($D318='Auto Responses'!$J$27,$H318='Auto Responses'!$J$7),1,IF(AND($D318='Auto Responses'!$J$27,$H318='Auto Responses'!$J$8),0,IF(OR(AND($F318=$G318,$H318=""),$H318='Auto Responses'!$J$7),1,0)))))</f>
      </c>
      <c r="M318" s="4">
        <f>VLOOKUP($A318,'Institution Evaluation'!$A$56:$K$345,11,0)&amp;""</f>
      </c>
      <c r="N318" s="4">
        <f>IF($J318='Auto Responses'!$J$11,1,IF(AND($J318="",$I318='Auto Responses'!$J$11),1,0))</f>
      </c>
      <c r="O318" s="106">
        <f>IF(OR($F$20='Auto Responses'!$J$4,$E318='Auto Responses'!$L$13,$F318='Auto Responses'!$J$5),'Auto Responses'!$J$5,IF($J318="",$K318,IF($J318='Auto Responses'!$J$13,5,IF($J318='Auto Responses'!$J$12,10,IF($J318='Auto Responses'!$J$11,20,0)))))</f>
      </c>
      <c r="P318" s="106">
        <f>IF(OR($O318='Auto Responses'!$J$5,$L318='Auto Responses'!$J$5),'Auto Responses'!$J$5,$O318*$L318)</f>
      </c>
      <c r="Q318" s="106">
        <f t="shared" si="39"/>
      </c>
      <c r="R318" s="106">
        <f t="shared" si="37"/>
      </c>
      <c r="S318" s="106">
        <f t="shared" si="40"/>
      </c>
      <c r="T318" s="106">
        <f t="shared" si="41"/>
      </c>
      <c r="U318" s="106">
        <f t="shared" si="38"/>
      </c>
      <c r="V318" s="106">
        <f t="shared" si="42"/>
      </c>
    </row>
    <row r="319" spans="1:22" ht="60" x14ac:dyDescent="0.2">
      <c r="A319" s="4">
        <f>Questions!$A319</f>
      </c>
      <c r="B319" s="4">
        <f t="shared" si="43"/>
      </c>
      <c r="C319" s="4">
        <f>VLOOKUP($A319,Questions!$A$3:$L$333,2,0)&amp;""</f>
      </c>
      <c r="D319" s="4">
        <f>VLOOKUP($A319,Questions!$A$3:$L$333,11,0)&amp;""</f>
      </c>
      <c r="E319" s="4">
        <f>VLOOKUP($A319,Questions!$A$3:$L$333,12,0)&amp;""</f>
      </c>
      <c r="F319" s="4">
        <f>VLOOKUP($A319,'Institution Evaluation'!$A$56:$K$345,3,0)&amp;""</f>
      </c>
      <c r="G319" s="4">
        <f>VLOOKUP($A319,'Institution Evaluation'!$A$56:$K$345,7,0)&amp;""</f>
      </c>
      <c r="H319" s="4">
        <f>VLOOKUP($A319,'Institution Evaluation'!$A$56:$K$345,8,0)&amp;""</f>
      </c>
      <c r="I319" s="4">
        <f>VLOOKUP($A319,'Institution Evaluation'!$A$56:$K$345,9,0)&amp;""</f>
      </c>
      <c r="J319" s="4">
        <f>VLOOKUP($A319,'Institution Evaluation'!$A$56:$K$345,10,0)&amp;""</f>
      </c>
      <c r="K319" s="4">
        <f>IF($I319='Auto Responses'!$J$11,20,IF($I319='Auto Responses'!$J$13,5,10))</f>
      </c>
      <c r="L319" s="106">
        <f>IF($E319='Auto Responses'!$L$13, 'Auto Responses'!$J$5,IF(AND($D319='Auto Responses'!$J$27,$H319=""),'Auto Responses'!$J$5,IF(AND($D319='Auto Responses'!$J$27,$H319='Auto Responses'!$J$7),1,IF(AND($D319='Auto Responses'!$J$27,$H319='Auto Responses'!$J$8),0,IF(OR(AND($F319=$G319,$H319=""),$H319='Auto Responses'!$J$7),1,0)))))</f>
      </c>
      <c r="M319" s="4">
        <f>VLOOKUP($A319,'Institution Evaluation'!$A$56:$K$345,11,0)&amp;""</f>
      </c>
      <c r="N319" s="4">
        <f>IF($J319='Auto Responses'!$J$11,1,IF(AND($J319="",$I319='Auto Responses'!$J$11),1,0))</f>
      </c>
      <c r="O319" s="106">
        <f>IF(OR($F$20='Auto Responses'!$J$4,$E319='Auto Responses'!$L$13,$F319='Auto Responses'!$J$5),'Auto Responses'!$J$5,IF($J319="",$K319,IF($J319='Auto Responses'!$J$13,5,IF($J319='Auto Responses'!$J$12,10,IF($J319='Auto Responses'!$J$11,20,0)))))</f>
      </c>
      <c r="P319" s="106">
        <f>IF(OR($O319='Auto Responses'!$J$5,$L319='Auto Responses'!$J$5),'Auto Responses'!$J$5,$O319*$L319)</f>
      </c>
      <c r="Q319" s="106">
        <f t="shared" si="39"/>
      </c>
      <c r="R319" s="106">
        <f t="shared" si="37"/>
      </c>
      <c r="S319" s="106">
        <f t="shared" si="40"/>
      </c>
      <c r="T319" s="106">
        <f t="shared" si="41"/>
      </c>
      <c r="U319" s="106">
        <f t="shared" si="38"/>
      </c>
      <c r="V319" s="106">
        <f t="shared" si="42"/>
      </c>
    </row>
    <row r="320" spans="1:22" ht="60" x14ac:dyDescent="0.2">
      <c r="A320" s="4">
        <f>Questions!$A320</f>
      </c>
      <c r="B320" s="4">
        <f t="shared" si="43"/>
      </c>
      <c r="C320" s="4">
        <f>VLOOKUP($A320,Questions!$A$3:$L$333,2,0)&amp;""</f>
      </c>
      <c r="D320" s="4">
        <f>VLOOKUP($A320,Questions!$A$3:$L$333,11,0)&amp;""</f>
      </c>
      <c r="E320" s="4">
        <f>VLOOKUP($A320,Questions!$A$3:$L$333,12,0)&amp;""</f>
      </c>
      <c r="F320" s="4">
        <f>VLOOKUP($A320,'Institution Evaluation'!$A$56:$K$345,3,0)&amp;""</f>
      </c>
      <c r="G320" s="4">
        <f>VLOOKUP($A320,'Institution Evaluation'!$A$56:$K$345,7,0)&amp;""</f>
      </c>
      <c r="H320" s="4">
        <f>VLOOKUP($A320,'Institution Evaluation'!$A$56:$K$345,8,0)&amp;""</f>
      </c>
      <c r="I320" s="4">
        <f>VLOOKUP($A320,'Institution Evaluation'!$A$56:$K$345,9,0)&amp;""</f>
      </c>
      <c r="J320" s="4">
        <f>VLOOKUP($A320,'Institution Evaluation'!$A$56:$K$345,10,0)&amp;""</f>
      </c>
      <c r="K320" s="4">
        <f>IF($I320='Auto Responses'!$J$11,20,IF($I320='Auto Responses'!$J$13,5,10))</f>
      </c>
      <c r="L320" s="106">
        <f>IF($E320='Auto Responses'!$L$13, 'Auto Responses'!$J$5,IF(AND($D320='Auto Responses'!$J$27,$H320=""),'Auto Responses'!$J$5,IF(AND($D320='Auto Responses'!$J$27,$H320='Auto Responses'!$J$7),1,IF(AND($D320='Auto Responses'!$J$27,$H320='Auto Responses'!$J$8),0,IF(OR(AND($F320=$G320,$H320=""),$H320='Auto Responses'!$J$7),1,0)))))</f>
      </c>
      <c r="M320" s="4">
        <f>VLOOKUP($A320,'Institution Evaluation'!$A$56:$K$345,11,0)&amp;""</f>
      </c>
      <c r="N320" s="4">
        <f>IF($J320='Auto Responses'!$J$11,1,IF(AND($J320="",$I320='Auto Responses'!$J$11),1,0))</f>
      </c>
      <c r="O320" s="106">
        <f>IF(OR($F$20='Auto Responses'!$J$4,$F$303='Auto Responses'!$J$4,$E320='Auto Responses'!$L$13,$F320='Auto Responses'!$J$5),'Auto Responses'!$J$5,IF($J320="",$K320,IF($J320='Auto Responses'!$J$13,5,IF($J320='Auto Responses'!$J$12,10,IF($J320='Auto Responses'!$J$11,20,0)))))</f>
      </c>
      <c r="P320" s="106">
        <f>IF(OR($O320='Auto Responses'!$J$5,$L320='Auto Responses'!$J$5),'Auto Responses'!$J$5,$O320*$L320)</f>
      </c>
      <c r="Q320" s="106">
        <f t="shared" si="39"/>
      </c>
      <c r="R320" s="106">
        <f t="shared" si="37"/>
      </c>
      <c r="S320" s="106">
        <f t="shared" si="40"/>
      </c>
      <c r="T320" s="106">
        <f t="shared" si="41"/>
      </c>
      <c r="U320" s="106">
        <f t="shared" si="38"/>
      </c>
      <c r="V320" s="106">
        <f t="shared" si="42"/>
      </c>
    </row>
    <row r="321" spans="1:23" ht="60" x14ac:dyDescent="0.2">
      <c r="A321" s="4">
        <f>Questions!$A321</f>
      </c>
      <c r="B321" s="4">
        <f t="shared" si="43"/>
      </c>
      <c r="C321" s="4">
        <f>VLOOKUP($A321,Questions!$A$3:$L$333,2,0)&amp;""</f>
      </c>
      <c r="D321" s="4">
        <f>VLOOKUP($A321,Questions!$A$3:$L$333,11,0)&amp;""</f>
      </c>
      <c r="E321" s="4">
        <f>VLOOKUP($A321,Questions!$A$3:$L$333,12,0)&amp;""</f>
      </c>
      <c r="F321" s="4">
        <f>VLOOKUP($A321,'Institution Evaluation'!$A$56:$K$345,3,0)&amp;""</f>
      </c>
      <c r="G321" s="4">
        <f>VLOOKUP($A321,'Institution Evaluation'!$A$56:$K$345,7,0)&amp;""</f>
      </c>
      <c r="H321" s="4">
        <f>VLOOKUP($A321,'Institution Evaluation'!$A$56:$K$345,8,0)&amp;""</f>
      </c>
      <c r="I321" s="4">
        <f>VLOOKUP($A321,'Institution Evaluation'!$A$56:$K$345,9,0)&amp;""</f>
      </c>
      <c r="J321" s="4">
        <f>VLOOKUP($A321,'Institution Evaluation'!$A$56:$K$345,10,0)&amp;""</f>
      </c>
      <c r="K321" s="4">
        <f>IF($I321='Auto Responses'!$J$11,20,IF($I321='Auto Responses'!$J$13,5,10))</f>
      </c>
      <c r="L321" s="106">
        <f>IF($E321='Auto Responses'!$L$13, 'Auto Responses'!$J$5,IF(AND($D321='Auto Responses'!$J$27,$H321=""),'Auto Responses'!$J$5,IF(AND($D321='Auto Responses'!$J$27,$H321='Auto Responses'!$J$7),1,IF(AND($D321='Auto Responses'!$J$27,$H321='Auto Responses'!$J$8),0,IF(OR(AND($F321=$G321,$H321=""),$H321='Auto Responses'!$J$7),1,0)))))</f>
      </c>
      <c r="M321" s="4">
        <f>VLOOKUP($A321,'Institution Evaluation'!$A$56:$K$345,11,0)&amp;""</f>
      </c>
      <c r="N321" s="4">
        <f>IF($J321='Auto Responses'!$J$11,1,IF(AND($J321="",$I321='Auto Responses'!$J$11),1,0))</f>
      </c>
      <c r="O321" s="106">
        <f>IF(OR($F$20='Auto Responses'!$J$4,$F$303='Auto Responses'!$J$4,$E321='Auto Responses'!$L$13,$F321='Auto Responses'!$J$5),'Auto Responses'!$J$5,IF($J321="",$K321,IF($J321='Auto Responses'!$J$13,5,IF($J321='Auto Responses'!$J$12,10,IF($J321='Auto Responses'!$J$11,20,0)))))</f>
      </c>
      <c r="P321" s="106">
        <f>IF(OR($O321='Auto Responses'!$J$5,$L321='Auto Responses'!$J$5),'Auto Responses'!$J$5,$O321*$L321)</f>
      </c>
      <c r="Q321" s="106">
        <f t="shared" si="39"/>
      </c>
      <c r="R321" s="106">
        <f t="shared" si="37"/>
      </c>
      <c r="S321" s="106">
        <f t="shared" si="40"/>
      </c>
      <c r="T321" s="106">
        <f t="shared" si="41"/>
      </c>
      <c r="U321" s="106">
        <f t="shared" si="38"/>
      </c>
      <c r="V321" s="106">
        <f t="shared" si="42"/>
      </c>
    </row>
    <row r="322" spans="1:23" ht="60" x14ac:dyDescent="0.2">
      <c r="A322" s="4">
        <f>Questions!$A322</f>
      </c>
      <c r="B322" s="4">
        <f t="shared" si="43"/>
      </c>
      <c r="C322" s="4">
        <f>VLOOKUP($A322,Questions!$A$3:$L$333,2,0)&amp;""</f>
      </c>
      <c r="D322" s="4">
        <f>VLOOKUP($A322,Questions!$A$3:$L$333,11,0)&amp;""</f>
      </c>
      <c r="E322" s="4">
        <f>VLOOKUP($A322,Questions!$A$3:$L$333,12,0)&amp;""</f>
      </c>
      <c r="F322" s="4">
        <f>VLOOKUP($A322,'Institution Evaluation'!$A$56:$K$345,3,0)&amp;""</f>
      </c>
      <c r="G322" s="4">
        <f>VLOOKUP($A322,'Institution Evaluation'!$A$56:$K$345,7,0)&amp;""</f>
      </c>
      <c r="H322" s="4">
        <f>VLOOKUP($A322,'Institution Evaluation'!$A$56:$K$345,8,0)&amp;""</f>
      </c>
      <c r="I322" s="4">
        <f>VLOOKUP($A322,'Institution Evaluation'!$A$56:$K$345,9,0)&amp;""</f>
      </c>
      <c r="J322" s="4">
        <f>VLOOKUP($A322,'Institution Evaluation'!$A$56:$K$345,10,0)&amp;""</f>
      </c>
      <c r="K322" s="4">
        <f>IF($I322='Auto Responses'!$J$11,20,IF($I322='Auto Responses'!$J$13,5,10))</f>
      </c>
      <c r="L322" s="106">
        <f>IF($E322='Auto Responses'!$L$13, 'Auto Responses'!$J$5,IF(AND($D322='Auto Responses'!$J$27,$H322=""),'Auto Responses'!$J$5,IF(AND($D322='Auto Responses'!$J$27,$H322='Auto Responses'!$J$7),1,IF(AND($D322='Auto Responses'!$J$27,$H322='Auto Responses'!$J$8),0,IF(OR(AND($F322=$G322,$H322=""),$H322='Auto Responses'!$J$7),1,0)))))</f>
      </c>
      <c r="M322" s="4">
        <f>VLOOKUP($A322,'Institution Evaluation'!$A$56:$K$345,11,0)&amp;""</f>
      </c>
      <c r="N322" s="4">
        <f>IF($J322='Auto Responses'!$J$11,1,IF(AND($J322="",$I322='Auto Responses'!$J$11),1,0))</f>
      </c>
      <c r="O322" s="106">
        <f>IF(OR($F$20='Auto Responses'!$J$4,$F$303='Auto Responses'!$J$4,$E322='Auto Responses'!$L$13,$F322='Auto Responses'!$J$5),'Auto Responses'!$J$5,IF($J322="",$K322,IF($J322='Auto Responses'!$J$13,5,IF($J322='Auto Responses'!$J$12,10,IF($J322='Auto Responses'!$J$11,20,0)))))</f>
      </c>
      <c r="P322" s="106">
        <f>IF(OR($O322='Auto Responses'!$J$5,$L322='Auto Responses'!$J$5),'Auto Responses'!$J$5,$O322*$L322)</f>
      </c>
      <c r="Q322" s="106">
        <f t="shared" si="39"/>
      </c>
      <c r="R322" s="106">
        <f t="shared" si="37"/>
      </c>
      <c r="S322" s="106">
        <f t="shared" si="40"/>
      </c>
      <c r="T322" s="106">
        <f t="shared" si="41"/>
      </c>
      <c r="U322" s="106">
        <f t="shared" si="38"/>
      </c>
      <c r="V322" s="106">
        <f t="shared" si="42"/>
      </c>
    </row>
    <row r="323" spans="1:23" ht="60" x14ac:dyDescent="0.2">
      <c r="A323" s="4">
        <f>Questions!$A323</f>
      </c>
      <c r="B323" s="4">
        <f t="shared" si="43"/>
      </c>
      <c r="C323" s="4">
        <f>VLOOKUP($A323,Questions!$A$3:$L$333,2,0)&amp;""</f>
      </c>
      <c r="D323" s="4">
        <f>VLOOKUP($A323,Questions!$A$3:$L$333,11,0)&amp;""</f>
      </c>
      <c r="E323" s="4">
        <f>VLOOKUP($A323,Questions!$A$3:$L$333,12,0)&amp;""</f>
      </c>
      <c r="F323" s="4">
        <f>VLOOKUP($A323,'Institution Evaluation'!$A$56:$K$345,3,0)&amp;""</f>
      </c>
      <c r="G323" s="4">
        <f>VLOOKUP($A323,'Institution Evaluation'!$A$56:$K$345,7,0)&amp;""</f>
      </c>
      <c r="H323" s="4">
        <f>VLOOKUP($A323,'Institution Evaluation'!$A$56:$K$345,8,0)&amp;""</f>
      </c>
      <c r="I323" s="4">
        <f>VLOOKUP($A323,'Institution Evaluation'!$A$56:$K$345,9,0)&amp;""</f>
      </c>
      <c r="J323" s="4">
        <f>VLOOKUP($A323,'Institution Evaluation'!$A$56:$K$345,10,0)&amp;""</f>
      </c>
      <c r="K323" s="4">
        <f>IF($I323='Auto Responses'!$J$11,20,IF($I323='Auto Responses'!$J$13,5,10))</f>
      </c>
      <c r="L323" s="106">
        <f>IF($E323='Auto Responses'!$L$13, 'Auto Responses'!$J$5,IF(AND($D323='Auto Responses'!$J$27,$H323=""),'Auto Responses'!$J$5,IF(AND($D323='Auto Responses'!$J$27,$H323='Auto Responses'!$J$7),1,IF(AND($D323='Auto Responses'!$J$27,$H323='Auto Responses'!$J$8),0,IF(OR(AND($F323=$G323,$H323=""),$H323='Auto Responses'!$J$7),1,0)))))</f>
      </c>
      <c r="M323" s="4">
        <f>VLOOKUP($A323,'Institution Evaluation'!$A$56:$K$345,11,0)&amp;""</f>
      </c>
      <c r="N323" s="4">
        <f>IF($J323='Auto Responses'!$J$11,1,IF(AND($J323="",$I323='Auto Responses'!$J$11),1,0))</f>
      </c>
      <c r="O323" s="106">
        <f>IF(OR($F$20='Auto Responses'!$J$4,$F$303='Auto Responses'!$J$4,$E323='Auto Responses'!$L$13,$F323='Auto Responses'!$J$5),'Auto Responses'!$J$5,IF($J323="",$K323,IF($J323='Auto Responses'!$J$13,5,IF($J323='Auto Responses'!$J$12,10,IF($J323='Auto Responses'!$J$11,20,0)))))</f>
      </c>
      <c r="P323" s="106">
        <f>IF(OR($O323='Auto Responses'!$J$5,$L323='Auto Responses'!$J$5),'Auto Responses'!$J$5,$O323*$L323)</f>
      </c>
      <c r="Q323" s="106">
        <f t="shared" si="39"/>
      </c>
      <c r="R323" s="106">
        <f t="shared" si="37"/>
      </c>
      <c r="S323" s="106">
        <f t="shared" si="40"/>
      </c>
      <c r="T323" s="106">
        <f t="shared" si="41"/>
      </c>
      <c r="U323" s="106">
        <f t="shared" si="38"/>
      </c>
      <c r="V323" s="106">
        <f t="shared" si="42"/>
      </c>
    </row>
    <row r="324" spans="1:23" ht="60" x14ac:dyDescent="0.2">
      <c r="A324" s="4">
        <f>Questions!$A324</f>
      </c>
      <c r="B324" s="4">
        <f t="shared" si="43"/>
      </c>
      <c r="C324" s="4">
        <f>VLOOKUP($A324,Questions!$A$3:$L$333,2,0)&amp;""</f>
      </c>
      <c r="D324" s="4">
        <f>VLOOKUP($A324,Questions!$A$3:$L$333,11,0)&amp;""</f>
      </c>
      <c r="E324" s="4">
        <f>VLOOKUP($A324,Questions!$A$3:$L$333,12,0)&amp;""</f>
      </c>
      <c r="F324" s="4">
        <f>VLOOKUP($A324,'Institution Evaluation'!$A$56:$K$345,3,0)&amp;""</f>
      </c>
      <c r="G324" s="4">
        <f>VLOOKUP($A324,'Institution Evaluation'!$A$56:$K$345,7,0)&amp;""</f>
      </c>
      <c r="H324" s="4">
        <f>VLOOKUP($A324,'Institution Evaluation'!$A$56:$K$345,8,0)&amp;""</f>
      </c>
      <c r="I324" s="4">
        <f>VLOOKUP($A324,'Institution Evaluation'!$A$56:$K$345,9,0)&amp;""</f>
      </c>
      <c r="J324" s="4">
        <f>VLOOKUP($A324,'Institution Evaluation'!$A$56:$K$345,10,0)&amp;""</f>
      </c>
      <c r="K324" s="4">
        <f>IF($I324='Auto Responses'!$J$11,20,IF($I324='Auto Responses'!$J$13,5,10))</f>
      </c>
      <c r="L324" s="106">
        <f>IF($E324='Auto Responses'!$L$13, 'Auto Responses'!$J$5,IF(AND($D324='Auto Responses'!$J$27,$H324=""),'Auto Responses'!$J$5,IF(AND($D324='Auto Responses'!$J$27,$H324='Auto Responses'!$J$7),1,IF(AND($D324='Auto Responses'!$J$27,$H324='Auto Responses'!$J$8),0,IF(OR(AND($F324=$G324,$H324=""),$H324='Auto Responses'!$J$7),1,0)))))</f>
      </c>
      <c r="M324" s="4">
        <f>VLOOKUP($A324,'Institution Evaluation'!$A$56:$K$345,11,0)&amp;""</f>
      </c>
      <c r="N324" s="4">
        <f>IF($J324='Auto Responses'!$J$11,1,IF(AND($J324="",$I324='Auto Responses'!$J$11),1,0))</f>
      </c>
      <c r="O324" s="106">
        <f>IF(OR($F$20='Auto Responses'!$J$4,$F$303='Auto Responses'!$J$4,$E324='Auto Responses'!$L$13,$F324='Auto Responses'!$J$5),'Auto Responses'!$J$5,IF($J324="",$K324,IF($J324='Auto Responses'!$J$13,5,IF($J324='Auto Responses'!$J$12,10,IF($J324='Auto Responses'!$J$11,20,0)))))</f>
      </c>
      <c r="P324" s="106">
        <f>IF(OR($O324='Auto Responses'!$J$5,$L324='Auto Responses'!$J$5),'Auto Responses'!$J$5,$O324*$L324)</f>
      </c>
      <c r="Q324" s="106">
        <f t="shared" si="39"/>
      </c>
      <c r="R324" s="106">
        <f t="shared" si="37"/>
      </c>
      <c r="S324" s="106">
        <f t="shared" si="40"/>
      </c>
      <c r="T324" s="106">
        <f t="shared" si="41"/>
      </c>
      <c r="U324" s="106">
        <f t="shared" si="38"/>
      </c>
      <c r="V324" s="106">
        <f t="shared" si="42"/>
      </c>
    </row>
    <row r="325" spans="1:23" ht="60" x14ac:dyDescent="0.2">
      <c r="A325" s="4">
        <f>Questions!$A325</f>
      </c>
      <c r="B325" s="4">
        <f t="shared" si="43"/>
      </c>
      <c r="C325" s="4">
        <f>VLOOKUP($A325,Questions!$A$3:$L$333,2,0)&amp;""</f>
      </c>
      <c r="D325" s="4">
        <f>VLOOKUP($A325,Questions!$A$3:$L$333,11,0)&amp;""</f>
      </c>
      <c r="E325" s="4">
        <f>VLOOKUP($A325,Questions!$A$3:$L$333,12,0)&amp;""</f>
      </c>
      <c r="F325" s="4">
        <f>VLOOKUP($A325,'Institution Evaluation'!$A$56:$K$345,3,0)&amp;""</f>
      </c>
      <c r="G325" s="4">
        <f>VLOOKUP($A325,'Institution Evaluation'!$A$56:$K$345,7,0)&amp;""</f>
      </c>
      <c r="H325" s="4">
        <f>VLOOKUP($A325,'Institution Evaluation'!$A$56:$K$345,8,0)&amp;""</f>
      </c>
      <c r="I325" s="4">
        <f>VLOOKUP($A325,'Institution Evaluation'!$A$56:$K$345,9,0)&amp;""</f>
      </c>
      <c r="J325" s="4">
        <f>VLOOKUP($A325,'Institution Evaluation'!$A$56:$K$345,10,0)&amp;""</f>
      </c>
      <c r="K325" s="4">
        <f>IF($I325='Auto Responses'!$J$11,20,IF($I325='Auto Responses'!$J$13,5,10))</f>
      </c>
      <c r="L325" s="106">
        <f>IF($E325='Auto Responses'!$L$13, 'Auto Responses'!$J$5,IF(AND($D325='Auto Responses'!$J$27,$H325=""),'Auto Responses'!$J$5,IF(AND($D325='Auto Responses'!$J$27,$H325='Auto Responses'!$J$7),1,IF(AND($D325='Auto Responses'!$J$27,$H325='Auto Responses'!$J$8),0,IF(OR(AND($F325=$G325,$H325=""),$H325='Auto Responses'!$J$7),1,0)))))</f>
      </c>
      <c r="M325" s="4">
        <f>VLOOKUP($A325,'Institution Evaluation'!$A$56:$K$345,11,0)&amp;""</f>
      </c>
      <c r="N325" s="4">
        <f>IF($J325='Auto Responses'!$J$11,1,IF(AND($J325="",$I325='Auto Responses'!$J$11),1,0))</f>
      </c>
      <c r="O325" s="106">
        <f>IF(OR($F$20='Auto Responses'!$J$4,$F$303='Auto Responses'!$J$4,$E325='Auto Responses'!$L$13,$F325='Auto Responses'!$J$5),'Auto Responses'!$J$5,IF($J325="",$K325,IF($J325='Auto Responses'!$J$13,5,IF($J325='Auto Responses'!$J$12,10,IF($J325='Auto Responses'!$J$11,20,0)))))</f>
      </c>
      <c r="P325" s="106">
        <f>IF(OR($O325='Auto Responses'!$J$5,$L325='Auto Responses'!$J$5),'Auto Responses'!$J$5,$O325*$L325)</f>
      </c>
      <c r="Q325" s="106">
        <f t="shared" si="39"/>
      </c>
      <c r="R325" s="106">
        <f t="shared" ref="R325:R333" si="44">R324+Q325</f>
      </c>
      <c r="S325" s="106">
        <f t="shared" si="40"/>
      </c>
      <c r="T325" s="106">
        <f t="shared" si="41"/>
      </c>
      <c r="U325" s="106">
        <f t="shared" ref="U325:U333" si="45">U324+T325</f>
      </c>
      <c r="V325" s="106">
        <f t="shared" si="42"/>
      </c>
    </row>
    <row r="326" spans="1:23" ht="60" x14ac:dyDescent="0.2">
      <c r="A326" s="4">
        <f>Questions!$A326</f>
      </c>
      <c r="B326" s="4">
        <f t="shared" si="43"/>
      </c>
      <c r="C326" s="4">
        <f>VLOOKUP($A326,Questions!$A$3:$L$333,2,0)&amp;""</f>
      </c>
      <c r="D326" s="4">
        <f>VLOOKUP($A326,Questions!$A$3:$L$333,11,0)&amp;""</f>
      </c>
      <c r="E326" s="4">
        <f>VLOOKUP($A326,Questions!$A$3:$L$333,12,0)&amp;""</f>
      </c>
      <c r="F326" s="4">
        <f>VLOOKUP($A326,'Institution Evaluation'!$A$56:$K$345,3,0)&amp;""</f>
      </c>
      <c r="G326" s="4">
        <f>VLOOKUP($A326,'Institution Evaluation'!$A$56:$K$345,7,0)&amp;""</f>
      </c>
      <c r="H326" s="4">
        <f>VLOOKUP($A326,'Institution Evaluation'!$A$56:$K$345,8,0)&amp;""</f>
      </c>
      <c r="I326" s="4">
        <f>VLOOKUP($A326,'Institution Evaluation'!$A$56:$K$345,9,0)&amp;""</f>
      </c>
      <c r="J326" s="4">
        <f>VLOOKUP($A326,'Institution Evaluation'!$A$56:$K$345,10,0)&amp;""</f>
      </c>
      <c r="K326" s="4">
        <f>IF($I326='Auto Responses'!$J$11,20,IF($I326='Auto Responses'!$J$13,5,10))</f>
      </c>
      <c r="L326" s="106">
        <f>IF($E326='Auto Responses'!$L$13, 'Auto Responses'!$J$5,IF(AND($D326='Auto Responses'!$J$27,$H326=""),'Auto Responses'!$J$5,IF(AND($D326='Auto Responses'!$J$27,$H326='Auto Responses'!$J$7),1,IF(AND($D326='Auto Responses'!$J$27,$H326='Auto Responses'!$J$8),0,IF(OR(AND($F326=$G326,$H326=""),$H326='Auto Responses'!$J$7),1,0)))))</f>
      </c>
      <c r="M326" s="4">
        <f>VLOOKUP($A326,'Institution Evaluation'!$A$56:$K$345,11,0)&amp;""</f>
      </c>
      <c r="N326" s="4">
        <f>IF($J326='Auto Responses'!$J$11,1,IF(AND($J326="",$I326='Auto Responses'!$J$11),1,0))</f>
      </c>
      <c r="O326" s="106">
        <f>IF(OR($F$20='Auto Responses'!$J$4,$F$303='Auto Responses'!$J$4,$E326='Auto Responses'!$L$13,$F326='Auto Responses'!$J$5),'Auto Responses'!$J$5,IF($J326="",$K326,IF($J326='Auto Responses'!$J$13,5,IF($J326='Auto Responses'!$J$12,10,IF($J326='Auto Responses'!$J$11,20,0)))))</f>
      </c>
      <c r="P326" s="106">
        <f>IF(OR($O326='Auto Responses'!$J$5,$L326='Auto Responses'!$J$5),'Auto Responses'!$J$5,$O326*$L326)</f>
      </c>
      <c r="Q326" s="106">
        <f t="shared" si="39"/>
      </c>
      <c r="R326" s="106">
        <f t="shared" si="44"/>
      </c>
      <c r="S326" s="106">
        <f t="shared" si="40"/>
      </c>
      <c r="T326" s="106">
        <f t="shared" si="41"/>
      </c>
      <c r="U326" s="106">
        <f t="shared" si="45"/>
      </c>
      <c r="V326" s="106">
        <f t="shared" si="42"/>
      </c>
    </row>
    <row r="327" spans="1:23" ht="60" x14ac:dyDescent="0.2">
      <c r="A327" s="4">
        <f>Questions!$A327</f>
      </c>
      <c r="B327" s="4">
        <f t="shared" si="43"/>
      </c>
      <c r="C327" s="4">
        <f>VLOOKUP($A327,Questions!$A$3:$L$333,2,0)&amp;""</f>
      </c>
      <c r="D327" s="4">
        <f>VLOOKUP($A327,Questions!$A$3:$L$333,11,0)&amp;""</f>
      </c>
      <c r="E327" s="4">
        <f>VLOOKUP($A327,Questions!$A$3:$L$333,12,0)&amp;""</f>
      </c>
      <c r="F327" s="4">
        <f>VLOOKUP($A327,'Institution Evaluation'!$A$56:$K$345,3,0)&amp;""</f>
      </c>
      <c r="G327" s="4">
        <f>VLOOKUP($A327,'Institution Evaluation'!$A$56:$K$345,7,0)&amp;""</f>
      </c>
      <c r="H327" s="4">
        <f>VLOOKUP($A327,'Institution Evaluation'!$A$56:$K$345,8,0)&amp;""</f>
      </c>
      <c r="I327" s="4">
        <f>VLOOKUP($A327,'Institution Evaluation'!$A$56:$K$345,9,0)&amp;""</f>
      </c>
      <c r="J327" s="4">
        <f>VLOOKUP($A327,'Institution Evaluation'!$A$56:$K$345,10,0)&amp;""</f>
      </c>
      <c r="K327" s="4">
        <f>IF($I327='Auto Responses'!$J$11,20,IF($I327='Auto Responses'!$J$13,5,10))</f>
      </c>
      <c r="L327" s="106">
        <f>IF($E327='Auto Responses'!$L$13, 'Auto Responses'!$J$5,IF(AND($D327='Auto Responses'!$J$27,$H327=""),'Auto Responses'!$J$5,IF(AND($D327='Auto Responses'!$J$27,$H327='Auto Responses'!$J$7),1,IF(AND($D327='Auto Responses'!$J$27,$H327='Auto Responses'!$J$8),0,IF(OR(AND($F327=$G327,$H327=""),$H327='Auto Responses'!$J$7),1,0)))))</f>
      </c>
      <c r="M327" s="4">
        <f>VLOOKUP($A327,'Institution Evaluation'!$A$56:$K$345,11,0)&amp;""</f>
      </c>
      <c r="N327" s="4">
        <f>IF($J327='Auto Responses'!$J$11,1,IF(AND($J327="",$I327='Auto Responses'!$J$11),1,0))</f>
      </c>
      <c r="O327" s="106">
        <f>IF(OR($F$20='Auto Responses'!$J$4,$F$303='Auto Responses'!$J$4,$E327='Auto Responses'!$L$13,$F327='Auto Responses'!$J$5),'Auto Responses'!$J$5,IF($J327="",$K327,IF($J327='Auto Responses'!$J$13,5,IF($J327='Auto Responses'!$J$12,10,IF($J327='Auto Responses'!$J$11,20,0)))))</f>
      </c>
      <c r="P327" s="106">
        <f>IF(OR($O327='Auto Responses'!$J$5,$L327='Auto Responses'!$J$5),'Auto Responses'!$J$5,$O327*$L327)</f>
      </c>
      <c r="Q327" s="106">
        <f t="shared" si="39"/>
      </c>
      <c r="R327" s="106">
        <f t="shared" si="44"/>
      </c>
      <c r="S327" s="106">
        <f t="shared" si="40"/>
      </c>
      <c r="T327" s="106">
        <f t="shared" si="41"/>
      </c>
      <c r="U327" s="106">
        <f t="shared" si="45"/>
      </c>
      <c r="V327" s="106">
        <f t="shared" si="42"/>
      </c>
    </row>
    <row r="328" spans="1:23" ht="60" x14ac:dyDescent="0.2">
      <c r="A328" s="4">
        <f>Questions!$A328</f>
      </c>
      <c r="B328" s="4">
        <f t="shared" si="43"/>
      </c>
      <c r="C328" s="4">
        <f>VLOOKUP($A328,Questions!$A$3:$L$333,2,0)&amp;""</f>
      </c>
      <c r="D328" s="4">
        <f>VLOOKUP($A328,Questions!$A$3:$L$333,11,0)&amp;""</f>
      </c>
      <c r="E328" s="4">
        <f>VLOOKUP($A328,Questions!$A$3:$L$333,12,0)&amp;""</f>
      </c>
      <c r="F328" s="4">
        <f>VLOOKUP($A328,'Institution Evaluation'!$A$56:$K$345,3,0)&amp;""</f>
      </c>
      <c r="G328" s="4">
        <f>VLOOKUP($A328,'Institution Evaluation'!$A$56:$K$345,7,0)&amp;""</f>
      </c>
      <c r="H328" s="4">
        <f>VLOOKUP($A328,'Institution Evaluation'!$A$56:$K$345,8,0)&amp;""</f>
      </c>
      <c r="I328" s="4">
        <f>VLOOKUP($A328,'Institution Evaluation'!$A$56:$K$345,9,0)&amp;""</f>
      </c>
      <c r="J328" s="4">
        <f>VLOOKUP($A328,'Institution Evaluation'!$A$56:$K$345,10,0)&amp;""</f>
      </c>
      <c r="K328" s="4">
        <f>IF($I328='Auto Responses'!$J$11,20,IF($I328='Auto Responses'!$J$13,5,10))</f>
      </c>
      <c r="L328" s="106">
        <f>IF($E328='Auto Responses'!$L$13, 'Auto Responses'!$J$5,IF(AND($D328='Auto Responses'!$J$27,$H328=""),'Auto Responses'!$J$5,IF(AND($D328='Auto Responses'!$J$27,$H328='Auto Responses'!$J$7),1,IF(AND($D328='Auto Responses'!$J$27,$H328='Auto Responses'!$J$8),0,IF(OR(AND($F328=$G328,$H328=""),$H328='Auto Responses'!$J$7),1,0)))))</f>
      </c>
      <c r="M328" s="4">
        <f>VLOOKUP($A328,'Institution Evaluation'!$A$56:$K$345,11,0)&amp;""</f>
      </c>
      <c r="N328" s="4">
        <f>IF($J328='Auto Responses'!$J$11,1,IF(AND($J328="",$I328='Auto Responses'!$J$11),1,0))</f>
      </c>
      <c r="O328" s="106">
        <f>IF(OR($F$20='Auto Responses'!$J$4,$F$304='Auto Responses'!$J$4,$E328='Auto Responses'!$L$13,$F328='Auto Responses'!$J$5),'Auto Responses'!$J$5,IF($J328="",$K328,IF($J328='Auto Responses'!$J$13,5,IF($J328='Auto Responses'!$J$12,10,IF($J328='Auto Responses'!$J$11,20,0)))))</f>
      </c>
      <c r="P328" s="106">
        <f>IF(OR($O328='Auto Responses'!$J$5,$L328='Auto Responses'!$J$5),'Auto Responses'!$J$5,$O328*$L328)</f>
      </c>
      <c r="Q328" s="106">
        <f t="shared" si="39"/>
      </c>
      <c r="R328" s="106">
        <f t="shared" si="44"/>
      </c>
      <c r="S328" s="106">
        <f t="shared" si="40"/>
      </c>
      <c r="T328" s="106">
        <f t="shared" si="41"/>
      </c>
      <c r="U328" s="106">
        <f t="shared" si="45"/>
      </c>
      <c r="V328" s="106">
        <f t="shared" si="42"/>
      </c>
    </row>
    <row r="329" spans="1:23" ht="60" x14ac:dyDescent="0.2">
      <c r="A329" s="4">
        <f>Questions!$A329</f>
      </c>
      <c r="B329" s="4">
        <f t="shared" si="43"/>
      </c>
      <c r="C329" s="4">
        <f>VLOOKUP($A329,Questions!$A$3:$L$333,2,0)&amp;""</f>
      </c>
      <c r="D329" s="4">
        <f>VLOOKUP($A329,Questions!$A$3:$L$333,11,0)&amp;""</f>
      </c>
      <c r="E329" s="4">
        <f>VLOOKUP($A329,Questions!$A$3:$L$333,12,0)&amp;""</f>
      </c>
      <c r="F329" s="4">
        <f>VLOOKUP($A329,'Institution Evaluation'!$A$56:$K$345,3,0)&amp;""</f>
      </c>
      <c r="G329" s="4">
        <f>VLOOKUP($A329,'Institution Evaluation'!$A$56:$K$345,7,0)&amp;""</f>
      </c>
      <c r="H329" s="4">
        <f>VLOOKUP($A329,'Institution Evaluation'!$A$56:$K$345,8,0)&amp;""</f>
      </c>
      <c r="I329" s="4">
        <f>VLOOKUP($A329,'Institution Evaluation'!$A$56:$K$345,9,0)&amp;""</f>
      </c>
      <c r="J329" s="4">
        <f>VLOOKUP($A329,'Institution Evaluation'!$A$56:$K$345,10,0)&amp;""</f>
      </c>
      <c r="K329" s="4">
        <f>IF($I329='Auto Responses'!$J$11,20,IF($I329='Auto Responses'!$J$13,5,10))</f>
      </c>
      <c r="L329" s="106">
        <f>IF($E329='Auto Responses'!$L$13, 'Auto Responses'!$J$5,IF(AND($D329='Auto Responses'!$J$27,$H329=""),'Auto Responses'!$J$5,IF(AND($D329='Auto Responses'!$J$27,$H329='Auto Responses'!$J$7),1,IF(AND($D329='Auto Responses'!$J$27,$H329='Auto Responses'!$J$8),0,IF(OR(AND($F329=$G329,$H329=""),$H329='Auto Responses'!$J$7),1,0)))))</f>
      </c>
      <c r="M329" s="4">
        <f>VLOOKUP($A329,'Institution Evaluation'!$A$56:$K$345,11,0)&amp;""</f>
      </c>
      <c r="N329" s="4">
        <f>IF($J329='Auto Responses'!$J$11,1,IF(AND($J329="",$I329='Auto Responses'!$J$11),1,0))</f>
      </c>
      <c r="O329" s="106">
        <f>IF(OR($F$20='Auto Responses'!$J$4,$F$304='Auto Responses'!$J$4,$E329='Auto Responses'!$L$13,$F329='Auto Responses'!$J$5),'Auto Responses'!$J$5,IF($J329="",$K329,IF($J329='Auto Responses'!$J$13,5,IF($J329='Auto Responses'!$J$12,10,IF($J329='Auto Responses'!$J$11,20,0)))))</f>
      </c>
      <c r="P329" s="106">
        <f>IF(OR($O329='Auto Responses'!$J$5,$L329='Auto Responses'!$J$5),'Auto Responses'!$J$5,$O329*$L329)</f>
      </c>
      <c r="Q329" s="106">
        <f t="shared" si="39"/>
      </c>
      <c r="R329" s="106">
        <f t="shared" si="44"/>
      </c>
      <c r="S329" s="106">
        <f t="shared" si="40"/>
      </c>
      <c r="T329" s="106">
        <f t="shared" si="41"/>
      </c>
      <c r="U329" s="106">
        <f t="shared" si="45"/>
      </c>
      <c r="V329" s="106">
        <f t="shared" si="42"/>
      </c>
    </row>
    <row r="330" spans="1:23" ht="60" x14ac:dyDescent="0.2">
      <c r="A330" s="4">
        <f>Questions!$A330</f>
      </c>
      <c r="B330" s="4">
        <f t="shared" si="43"/>
      </c>
      <c r="C330" s="4">
        <f>VLOOKUP($A330,Questions!$A$3:$L$333,2,0)&amp;""</f>
      </c>
      <c r="D330" s="4">
        <f>VLOOKUP($A330,Questions!$A$3:$L$333,11,0)&amp;""</f>
      </c>
      <c r="E330" s="4">
        <f>VLOOKUP($A330,Questions!$A$3:$L$333,12,0)&amp;""</f>
      </c>
      <c r="F330" s="4">
        <f>VLOOKUP($A330,'Institution Evaluation'!$A$56:$K$345,3,0)&amp;""</f>
      </c>
      <c r="G330" s="4">
        <f>VLOOKUP($A330,'Institution Evaluation'!$A$56:$K$345,7,0)&amp;""</f>
      </c>
      <c r="H330" s="4">
        <f>VLOOKUP($A330,'Institution Evaluation'!$A$56:$K$345,8,0)&amp;""</f>
      </c>
      <c r="I330" s="4">
        <f>VLOOKUP($A330,'Institution Evaluation'!$A$56:$K$345,9,0)&amp;""</f>
      </c>
      <c r="J330" s="4">
        <f>VLOOKUP($A330,'Institution Evaluation'!$A$56:$K$345,10,0)&amp;""</f>
      </c>
      <c r="K330" s="4">
        <f>IF($I330='Auto Responses'!$J$11,20,IF($I330='Auto Responses'!$J$13,5,10))</f>
      </c>
      <c r="L330" s="106">
        <f>IF($E330='Auto Responses'!$L$13, 'Auto Responses'!$J$5,IF(AND($D330='Auto Responses'!$J$27,$H330=""),'Auto Responses'!$J$5,IF(AND($D330='Auto Responses'!$J$27,$H330='Auto Responses'!$J$7),1,IF(AND($D330='Auto Responses'!$J$27,$H330='Auto Responses'!$J$8),0,IF(OR(AND($F330=$G330,$H330=""),$H330='Auto Responses'!$J$7),1,0)))))</f>
      </c>
      <c r="M330" s="4">
        <f>VLOOKUP($A330,'Institution Evaluation'!$A$56:$K$345,11,0)&amp;""</f>
      </c>
      <c r="N330" s="4">
        <f>IF($J330='Auto Responses'!$J$11,1,IF(AND($J330="",$I330='Auto Responses'!$J$11),1,0))</f>
      </c>
      <c r="O330" s="106">
        <f>IF(OR($F$20='Auto Responses'!$J$4,$F$304='Auto Responses'!$J$4,$E330='Auto Responses'!$L$13,$F330='Auto Responses'!$J$5),'Auto Responses'!$J$5,IF($J330="",$K330,IF($J330='Auto Responses'!$J$13,5,IF($J330='Auto Responses'!$J$12,10,IF($J330='Auto Responses'!$J$11,20,0)))))</f>
      </c>
      <c r="P330" s="106">
        <f>IF(OR($O330='Auto Responses'!$J$5,$L330='Auto Responses'!$J$5),'Auto Responses'!$J$5,$O330*$L330)</f>
      </c>
      <c r="Q330" s="106">
        <f t="shared" si="39"/>
      </c>
      <c r="R330" s="106">
        <f t="shared" si="44"/>
      </c>
      <c r="S330" s="106">
        <f t="shared" si="40"/>
      </c>
      <c r="T330" s="106">
        <f t="shared" si="41"/>
      </c>
      <c r="U330" s="106">
        <f t="shared" si="45"/>
      </c>
      <c r="V330" s="106">
        <f t="shared" si="42"/>
      </c>
    </row>
    <row r="331" spans="1:23" ht="60" x14ac:dyDescent="0.2">
      <c r="A331" s="4">
        <f>Questions!$A331</f>
      </c>
      <c r="B331" s="4">
        <f t="shared" si="43"/>
      </c>
      <c r="C331" s="4">
        <f>VLOOKUP($A331,Questions!$A$3:$L$333,2,0)&amp;""</f>
      </c>
      <c r="D331" s="4">
        <f>VLOOKUP($A331,Questions!$A$3:$L$333,11,0)&amp;""</f>
      </c>
      <c r="E331" s="4">
        <f>VLOOKUP($A331,Questions!$A$3:$L$333,12,0)&amp;""</f>
      </c>
      <c r="F331" s="4">
        <f>VLOOKUP($A331,'Institution Evaluation'!$A$56:$K$345,3,0)&amp;""</f>
      </c>
      <c r="G331" s="4">
        <f>VLOOKUP($A331,'Institution Evaluation'!$A$56:$K$345,7,0)&amp;""</f>
      </c>
      <c r="H331" s="4">
        <f>VLOOKUP($A331,'Institution Evaluation'!$A$56:$K$345,8,0)&amp;""</f>
      </c>
      <c r="I331" s="4">
        <f>VLOOKUP($A331,'Institution Evaluation'!$A$56:$K$345,9,0)&amp;""</f>
      </c>
      <c r="J331" s="4">
        <f>VLOOKUP($A331,'Institution Evaluation'!$A$56:$K$345,10,0)&amp;""</f>
      </c>
      <c r="K331" s="4">
        <f>IF($I331='Auto Responses'!$J$11,20,IF($I331='Auto Responses'!$J$13,5,10))</f>
      </c>
      <c r="L331" s="106">
        <f>IF($E331='Auto Responses'!$L$13, 'Auto Responses'!$J$5,IF(AND($D331='Auto Responses'!$J$27,$H331=""),'Auto Responses'!$J$5,IF(AND($D331='Auto Responses'!$J$27,$H331='Auto Responses'!$J$7),1,IF(AND($D331='Auto Responses'!$J$27,$H331='Auto Responses'!$J$8),0,IF(OR(AND($F331=$G331,$H331=""),$H331='Auto Responses'!$J$7),1,0)))))</f>
      </c>
      <c r="M331" s="4">
        <f>VLOOKUP($A331,'Institution Evaluation'!$A$56:$K$345,11,0)&amp;""</f>
      </c>
      <c r="N331" s="4">
        <f>IF($J331='Auto Responses'!$J$11,1,IF(AND($J331="",$I331='Auto Responses'!$J$11),1,0))</f>
      </c>
      <c r="O331" s="106">
        <f>IF(OR($F$20='Auto Responses'!$J$4,$F$304='Auto Responses'!$J$4,$E331='Auto Responses'!$L$13,$F331='Auto Responses'!$J$5),'Auto Responses'!$J$5,IF($J331="",$K331,IF($J331='Auto Responses'!$J$13,5,IF($J331='Auto Responses'!$J$12,10,IF($J331='Auto Responses'!$J$11,20,0)))))</f>
      </c>
      <c r="P331" s="106">
        <f>IF(OR($O331='Auto Responses'!$J$5,$L331='Auto Responses'!$J$5),'Auto Responses'!$J$5,$O331*$L331)</f>
      </c>
      <c r="Q331" s="106">
        <f t="shared" si="39"/>
      </c>
      <c r="R331" s="106">
        <f t="shared" si="44"/>
      </c>
      <c r="S331" s="106">
        <f t="shared" si="40"/>
      </c>
      <c r="T331" s="106">
        <f t="shared" si="41"/>
      </c>
      <c r="U331" s="106">
        <f t="shared" si="45"/>
      </c>
      <c r="V331" s="106">
        <f t="shared" si="42"/>
      </c>
    </row>
    <row r="332" spans="1:23" ht="60" x14ac:dyDescent="0.2">
      <c r="A332" s="4">
        <f>Questions!$A332</f>
      </c>
      <c r="B332" s="4">
        <f t="shared" si="43"/>
      </c>
      <c r="C332" s="4">
        <f>VLOOKUP($A332,Questions!$A$3:$L$333,2,0)&amp;""</f>
      </c>
      <c r="D332" s="4">
        <f>VLOOKUP($A332,Questions!$A$3:$L$333,11,0)&amp;""</f>
      </c>
      <c r="E332" s="4">
        <f>VLOOKUP($A332,Questions!$A$3:$L$333,12,0)&amp;""</f>
      </c>
      <c r="F332" s="4">
        <f>VLOOKUP($A332,'Institution Evaluation'!$A$56:$K$345,3,0)&amp;""</f>
      </c>
      <c r="G332" s="4">
        <f>VLOOKUP($A332,'Institution Evaluation'!$A$56:$K$345,7,0)&amp;""</f>
      </c>
      <c r="H332" s="4">
        <f>VLOOKUP($A332,'Institution Evaluation'!$A$56:$K$345,8,0)&amp;""</f>
      </c>
      <c r="I332" s="4">
        <f>VLOOKUP($A332,'Institution Evaluation'!$A$56:$K$345,9,0)&amp;""</f>
      </c>
      <c r="J332" s="4">
        <f>VLOOKUP($A332,'Institution Evaluation'!$A$56:$K$345,10,0)&amp;""</f>
      </c>
      <c r="K332" s="4">
        <f>IF($I332='Auto Responses'!$J$11,20,IF($I332='Auto Responses'!$J$13,5,10))</f>
      </c>
      <c r="L332" s="106">
        <f>IF($E332='Auto Responses'!$L$13, 'Auto Responses'!$J$5,IF(AND($D332='Auto Responses'!$J$27,$H332=""),'Auto Responses'!$J$5,IF(AND($D332='Auto Responses'!$J$27,$H332='Auto Responses'!$J$7),1,IF(AND($D332='Auto Responses'!$J$27,$H332='Auto Responses'!$J$8),0,IF(OR(AND($F332=$G332,$H332=""),$H332='Auto Responses'!$J$7),1,0)))))</f>
      </c>
      <c r="M332" s="4">
        <f>VLOOKUP($A332,'Institution Evaluation'!$A$56:$K$345,11,0)&amp;""</f>
      </c>
      <c r="N332" s="4">
        <f>IF($J332='Auto Responses'!$J$11,1,IF(AND($J332="",$I332='Auto Responses'!$J$11),1,0))</f>
      </c>
      <c r="O332" s="106">
        <f>IF(OR($F$20='Auto Responses'!$J$4,$F$304='Auto Responses'!$J$4,$E332='Auto Responses'!$L$13,$F332='Auto Responses'!$J$5),'Auto Responses'!$J$5,IF($J332="",$K332,IF($J332='Auto Responses'!$J$13,5,IF($J332='Auto Responses'!$J$12,10,IF($J332='Auto Responses'!$J$11,20,0)))))</f>
      </c>
      <c r="P332" s="106">
        <f>IF(OR($O332='Auto Responses'!$J$5,$L332='Auto Responses'!$J$5),'Auto Responses'!$J$5,$O332*$L332)</f>
      </c>
      <c r="Q332" s="106">
        <f t="shared" si="39"/>
      </c>
      <c r="R332" s="106">
        <f t="shared" si="44"/>
      </c>
      <c r="S332" s="106">
        <f t="shared" si="40"/>
      </c>
      <c r="T332" s="106">
        <f t="shared" si="41"/>
      </c>
      <c r="U332" s="106">
        <f t="shared" si="45"/>
      </c>
      <c r="V332" s="106">
        <f t="shared" si="42"/>
      </c>
    </row>
    <row r="333" spans="1:23" ht="36" customHeight="1" x14ac:dyDescent="0.2">
      <c r="A333" s="4">
        <f>Questions!$A333</f>
      </c>
      <c r="B333" s="4">
        <f t="shared" si="43"/>
      </c>
      <c r="C333" s="4">
        <f>VLOOKUP($A333,Questions!$A$3:$L$333,2,0)&amp;""</f>
      </c>
      <c r="D333" s="4">
        <f>VLOOKUP($A333,Questions!$A$3:$L$333,11,0)&amp;""</f>
      </c>
      <c r="E333" s="4">
        <f>VLOOKUP($A333,Questions!$A$3:$L$333,12,0)&amp;""</f>
      </c>
      <c r="F333" s="4">
        <f>VLOOKUP($A333,'Institution Evaluation'!$A$56:$K$345,3,0)&amp;""</f>
      </c>
      <c r="G333" s="4">
        <f>VLOOKUP($A333,'Institution Evaluation'!$A$56:$K$345,7,0)&amp;""</f>
      </c>
      <c r="H333" s="4">
        <f>VLOOKUP($A333,'Institution Evaluation'!$A$56:$K$345,8,0)&amp;""</f>
      </c>
      <c r="I333" s="4">
        <f>VLOOKUP($A333,'Institution Evaluation'!$A$56:$K$345,9,0)&amp;""</f>
      </c>
      <c r="J333" s="4">
        <f>VLOOKUP($A333,'Institution Evaluation'!$A$56:$K$345,10,0)&amp;""</f>
      </c>
      <c r="K333" s="4">
        <f>IF($I333='Auto Responses'!$J$11,20,IF($I333='Auto Responses'!$J$13,5,10))</f>
      </c>
      <c r="L333" s="106">
        <f>IF($E333='Auto Responses'!$L$13, 'Auto Responses'!$J$5,IF(AND($D333='Auto Responses'!$J$27,$H333=""),'Auto Responses'!$J$5,IF(AND($D333='Auto Responses'!$J$27,$H333='Auto Responses'!$J$7),1,IF(AND($D333='Auto Responses'!$J$27,$H333='Auto Responses'!$J$8),0,IF(OR(AND($F333=$G333,$H333=""),$H333='Auto Responses'!$J$7),1,0)))))</f>
      </c>
      <c r="M333" s="4">
        <f>VLOOKUP($A333,'Institution Evaluation'!$A$56:$K$345,11,0)&amp;""</f>
      </c>
      <c r="N333" s="4">
        <f>IF($J333='Auto Responses'!$J$11,1,IF(AND($J333="",$I333='Auto Responses'!$J$11),1,0))</f>
      </c>
      <c r="O333" s="106">
        <f>IF(OR($F$20='Auto Responses'!$J$4,$F$304='Auto Responses'!$J$4,$E333='Auto Responses'!$L$13,$F333='Auto Responses'!$J$5),'Auto Responses'!$J$5,IF($J333="",$K333,IF($J333='Auto Responses'!$J$13,5,IF($J333='Auto Responses'!$J$12,10,IF($J333='Auto Responses'!$J$11,20,0)))))</f>
      </c>
      <c r="P333" s="106">
        <f>IF(OR($O333='Auto Responses'!$J$5,$L333='Auto Responses'!$J$5),'Auto Responses'!$J$5,$O333*$L333)</f>
      </c>
      <c r="Q333" s="106">
        <f t="shared" si="39"/>
      </c>
      <c r="R333" s="106">
        <f t="shared" si="44"/>
      </c>
      <c r="S333" s="106">
        <f t="shared" si="40"/>
      </c>
      <c r="T333" s="106">
        <f t="shared" si="41"/>
      </c>
      <c r="U333" s="106">
        <f t="shared" si="45"/>
      </c>
      <c r="V333" s="106">
        <f t="shared" si="42"/>
      </c>
      <c r="W333" s="236" t="s">
        <v>1448</v>
      </c>
    </row>
    <row r="334" spans="1:23" ht="17" thickBot="1" x14ac:dyDescent="0.25">
      <c r="A334" s="3"/>
      <c r="B334" s="3"/>
      <c r="C334" s="3"/>
      <c r="D334" s="3"/>
      <c r="E334" s="3"/>
      <c r="F334" s="3"/>
      <c r="G334" s="3"/>
      <c r="H334" s="3"/>
      <c r="I334" s="3"/>
      <c r="J334" s="3"/>
      <c r="K334" s="3"/>
    </row>
    <row r="335" spans="1:23" ht="17" thickBot="1" x14ac:dyDescent="0.25">
      <c r="A335" s="3"/>
      <c r="B335" s="3"/>
      <c r="C335" s="3"/>
      <c r="D335" s="3"/>
      <c r="E335" s="3"/>
      <c r="F335" s="3"/>
      <c r="G335" s="3"/>
      <c r="H335" s="3"/>
      <c r="I335" s="3"/>
      <c r="J335" s="3"/>
      <c r="K335" s="3"/>
      <c r="Q335" s="159">
        <f>SUM($Q3:$Q334)</f>
      </c>
      <c r="R335" s="160"/>
      <c r="S335" s="160"/>
      <c r="T335" s="161">
        <f>SUM($T3:$T334)</f>
      </c>
    </row>
    <row r="336" spans="1:23" x14ac:dyDescent="0.2">
      <c r="A336" s="236" t="s">
        <v>1456</v>
      </c>
      <c r="B336" s="3"/>
      <c r="C336" s="3"/>
      <c r="D336" s="3"/>
      <c r="E336" s="3"/>
      <c r="F336" s="3"/>
      <c r="G336" s="3"/>
      <c r="H336" s="3"/>
      <c r="I336" s="3"/>
      <c r="J336" s="3"/>
      <c r="K336" s="3"/>
    </row>
    <row r="337" spans="1:11" hidden="1" x14ac:dyDescent="0.2">
      <c r="A337" s="3"/>
      <c r="B337" s="3"/>
      <c r="C337" s="3"/>
      <c r="D337" s="3"/>
      <c r="E337" s="3"/>
      <c r="F337" s="3"/>
      <c r="G337" s="3"/>
      <c r="H337" s="3"/>
      <c r="I337" s="3"/>
      <c r="J337" s="3"/>
      <c r="K337" s="3"/>
    </row>
    <row r="338" spans="1:11" hidden="1" x14ac:dyDescent="0.2">
      <c r="A338" s="3"/>
      <c r="B338" s="3"/>
      <c r="C338" s="3"/>
      <c r="D338" s="3"/>
      <c r="E338" s="3"/>
      <c r="F338" s="3"/>
      <c r="G338" s="3"/>
      <c r="H338" s="3"/>
      <c r="I338" s="3"/>
      <c r="J338" s="3"/>
      <c r="K338" s="3"/>
    </row>
    <row r="339" spans="1:11" hidden="1" x14ac:dyDescent="0.2">
      <c r="A339" s="3"/>
      <c r="B339" s="3"/>
      <c r="C339" s="3"/>
      <c r="D339" s="3"/>
      <c r="E339" s="3"/>
      <c r="F339" s="3"/>
      <c r="G339" s="3"/>
      <c r="H339" s="3"/>
      <c r="I339" s="3"/>
      <c r="J339" s="3"/>
      <c r="K339" s="3"/>
    </row>
    <row r="340" spans="1:11" hidden="1" x14ac:dyDescent="0.2">
      <c r="A340" s="3"/>
      <c r="B340" s="3"/>
      <c r="C340" s="3"/>
      <c r="D340" s="3"/>
      <c r="E340" s="3"/>
      <c r="F340" s="3"/>
      <c r="G340" s="3"/>
      <c r="H340" s="3"/>
      <c r="I340" s="3"/>
      <c r="J340" s="3"/>
      <c r="K340" s="3"/>
    </row>
    <row r="341" spans="1:11" hidden="1" x14ac:dyDescent="0.2">
      <c r="A341" s="3"/>
      <c r="B341" s="3"/>
      <c r="C341" s="3"/>
      <c r="D341" s="3"/>
      <c r="E341" s="3"/>
      <c r="F341" s="3"/>
      <c r="G341" s="3"/>
      <c r="H341" s="3"/>
      <c r="I341" s="3"/>
      <c r="J341" s="3"/>
      <c r="K341" s="3"/>
    </row>
    <row r="342" spans="1:11" hidden="1" x14ac:dyDescent="0.2">
      <c r="A342" s="3"/>
      <c r="B342" s="3"/>
      <c r="C342" s="3"/>
      <c r="D342" s="3"/>
      <c r="E342" s="3"/>
      <c r="F342" s="3"/>
      <c r="G342" s="3"/>
      <c r="H342" s="3"/>
      <c r="I342" s="3"/>
      <c r="J342" s="3"/>
      <c r="K342" s="3"/>
    </row>
    <row r="343" spans="1:11" hidden="1" x14ac:dyDescent="0.2">
      <c r="A343" s="3"/>
      <c r="B343" s="3"/>
      <c r="C343" s="3"/>
      <c r="D343" s="3"/>
      <c r="E343" s="3"/>
      <c r="F343" s="3"/>
      <c r="G343" s="3"/>
      <c r="H343" s="3"/>
      <c r="I343" s="3"/>
      <c r="J343" s="3"/>
      <c r="K343" s="3"/>
    </row>
    <row r="344" spans="1:11" hidden="1" x14ac:dyDescent="0.2">
      <c r="A344" s="3"/>
      <c r="B344" s="3"/>
      <c r="C344" s="3"/>
      <c r="D344" s="3"/>
      <c r="E344" s="3"/>
      <c r="F344" s="3"/>
      <c r="G344" s="3"/>
      <c r="H344" s="3"/>
      <c r="I344" s="3"/>
      <c r="J344" s="3"/>
      <c r="K344" s="3"/>
    </row>
    <row r="345" spans="1:11" hidden="1" x14ac:dyDescent="0.2">
      <c r="A345" s="3"/>
      <c r="B345" s="3"/>
      <c r="C345" s="3"/>
      <c r="D345" s="3"/>
      <c r="E345" s="3"/>
      <c r="F345" s="3"/>
      <c r="G345" s="3"/>
      <c r="H345" s="3"/>
      <c r="I345" s="3"/>
      <c r="J345" s="3"/>
      <c r="K345" s="3"/>
    </row>
    <row r="346" spans="1:11" hidden="1" x14ac:dyDescent="0.2">
      <c r="A346" s="3"/>
      <c r="B346" s="3"/>
      <c r="C346" s="3"/>
      <c r="D346" s="3"/>
      <c r="E346" s="3"/>
      <c r="F346" s="3"/>
      <c r="G346" s="3"/>
      <c r="H346" s="3"/>
      <c r="I346" s="3"/>
      <c r="J346" s="3"/>
      <c r="K346" s="3"/>
    </row>
    <row r="347" spans="1:11" hidden="1" x14ac:dyDescent="0.2">
      <c r="A347" s="3"/>
      <c r="B347" s="3"/>
      <c r="C347" s="3"/>
      <c r="D347" s="3"/>
      <c r="E347" s="3"/>
      <c r="F347" s="3"/>
      <c r="G347" s="3"/>
      <c r="H347" s="3"/>
      <c r="I347" s="3"/>
      <c r="J347" s="3"/>
      <c r="K347" s="3"/>
    </row>
    <row r="348" spans="1:11" hidden="1" x14ac:dyDescent="0.2">
      <c r="A348" s="3"/>
      <c r="B348" s="3"/>
      <c r="C348" s="3"/>
      <c r="D348" s="3"/>
      <c r="E348" s="3"/>
      <c r="F348" s="3"/>
      <c r="G348" s="3"/>
      <c r="H348" s="3"/>
      <c r="I348" s="3"/>
      <c r="J348" s="3"/>
      <c r="K348" s="3"/>
    </row>
    <row r="349" spans="1:11" hidden="1" x14ac:dyDescent="0.2">
      <c r="A349" s="3"/>
      <c r="B349" s="3"/>
      <c r="C349" s="3"/>
      <c r="D349" s="3"/>
      <c r="E349" s="3"/>
      <c r="F349" s="3"/>
      <c r="G349" s="3"/>
      <c r="H349" s="3"/>
      <c r="I349" s="3"/>
      <c r="J349" s="3"/>
      <c r="K349" s="3"/>
    </row>
    <row r="350" spans="1:11" hidden="1" x14ac:dyDescent="0.2">
      <c r="A350" s="3"/>
      <c r="B350" s="3"/>
      <c r="C350" s="3"/>
      <c r="D350" s="3"/>
      <c r="E350" s="3"/>
      <c r="F350" s="3"/>
      <c r="G350" s="3"/>
      <c r="H350" s="3"/>
      <c r="I350" s="3"/>
      <c r="J350" s="3"/>
      <c r="K350" s="3"/>
    </row>
    <row r="351" spans="1:11" hidden="1" x14ac:dyDescent="0.2">
      <c r="A351" s="3"/>
      <c r="B351" s="3"/>
      <c r="C351" s="3"/>
      <c r="D351" s="3"/>
      <c r="E351" s="3"/>
      <c r="F351" s="3"/>
      <c r="G351" s="3"/>
      <c r="H351" s="3"/>
      <c r="I351" s="3"/>
      <c r="J351" s="3"/>
      <c r="K351" s="3"/>
    </row>
    <row r="352" spans="1:11" hidden="1" x14ac:dyDescent="0.2">
      <c r="A352" s="3"/>
      <c r="B352" s="3"/>
      <c r="C352" s="3"/>
      <c r="D352" s="3"/>
      <c r="E352" s="3"/>
      <c r="F352" s="3"/>
      <c r="G352" s="3"/>
      <c r="H352" s="3"/>
      <c r="I352" s="3"/>
      <c r="J352" s="3"/>
      <c r="K352" s="3"/>
    </row>
    <row r="353" spans="1:11" hidden="1" x14ac:dyDescent="0.2">
      <c r="A353" s="3"/>
      <c r="B353" s="3"/>
      <c r="C353" s="3"/>
      <c r="D353" s="3"/>
      <c r="E353" s="3"/>
      <c r="F353" s="3"/>
      <c r="G353" s="3"/>
      <c r="H353" s="3"/>
      <c r="I353" s="3"/>
      <c r="J353" s="3"/>
      <c r="K353" s="3"/>
    </row>
    <row r="354" spans="1:11" hidden="1" x14ac:dyDescent="0.2">
      <c r="A354" s="3"/>
      <c r="B354" s="3"/>
      <c r="C354" s="3"/>
      <c r="D354" s="3"/>
      <c r="E354" s="3"/>
      <c r="F354" s="3"/>
      <c r="G354" s="3"/>
      <c r="H354" s="3"/>
      <c r="I354" s="3"/>
      <c r="J354" s="3"/>
      <c r="K354" s="3"/>
    </row>
    <row r="355" spans="1:11" hidden="1" x14ac:dyDescent="0.2">
      <c r="A355" s="3"/>
      <c r="B355" s="3"/>
      <c r="C355" s="3"/>
      <c r="D355" s="3"/>
      <c r="E355" s="3"/>
      <c r="F355" s="3"/>
      <c r="G355" s="3"/>
      <c r="H355" s="3"/>
      <c r="I355" s="3"/>
      <c r="J355" s="3"/>
      <c r="K355" s="3"/>
    </row>
    <row r="356" spans="1:11" hidden="1" x14ac:dyDescent="0.2">
      <c r="A356" s="3"/>
      <c r="B356" s="3"/>
      <c r="C356" s="3"/>
      <c r="D356" s="3"/>
      <c r="E356" s="3"/>
      <c r="F356" s="3"/>
      <c r="G356" s="3"/>
      <c r="H356" s="3"/>
      <c r="I356" s="3"/>
      <c r="J356" s="3"/>
      <c r="K356" s="3"/>
    </row>
    <row r="357" spans="1:11" hidden="1" x14ac:dyDescent="0.2">
      <c r="A357" s="3"/>
      <c r="B357" s="3"/>
      <c r="C357" s="3"/>
      <c r="D357" s="3"/>
      <c r="E357" s="3"/>
      <c r="F357" s="3"/>
      <c r="G357" s="3"/>
      <c r="H357" s="3"/>
      <c r="I357" s="3"/>
      <c r="J357" s="3"/>
      <c r="K357" s="3"/>
    </row>
    <row r="358" spans="1:11" hidden="1" x14ac:dyDescent="0.2">
      <c r="A358" s="3"/>
      <c r="B358" s="3"/>
      <c r="C358" s="3"/>
      <c r="D358" s="3"/>
      <c r="E358" s="3"/>
      <c r="F358" s="3"/>
      <c r="G358" s="3"/>
      <c r="H358" s="3"/>
      <c r="I358" s="3"/>
      <c r="J358" s="3"/>
      <c r="K358" s="3"/>
    </row>
    <row r="359" spans="1:11" hidden="1" x14ac:dyDescent="0.2">
      <c r="A359" s="3"/>
      <c r="B359" s="3"/>
      <c r="C359" s="3"/>
      <c r="D359" s="3"/>
      <c r="E359" s="3"/>
      <c r="F359" s="3"/>
      <c r="G359" s="3"/>
      <c r="H359" s="3"/>
      <c r="I359" s="3"/>
      <c r="J359" s="3"/>
      <c r="K359" s="3"/>
    </row>
    <row r="360" spans="1:11" hidden="1" x14ac:dyDescent="0.2">
      <c r="A360" s="3"/>
      <c r="B360" s="3"/>
      <c r="C360" s="3"/>
      <c r="D360" s="3"/>
      <c r="E360" s="3"/>
      <c r="F360" s="3"/>
      <c r="G360" s="3"/>
      <c r="H360" s="3"/>
      <c r="I360" s="3"/>
      <c r="J360" s="3"/>
      <c r="K360" s="3"/>
    </row>
    <row r="361" spans="1:11" hidden="1" x14ac:dyDescent="0.2">
      <c r="A361" s="3"/>
      <c r="B361" s="3"/>
      <c r="C361" s="3"/>
      <c r="D361" s="3"/>
      <c r="E361" s="3"/>
      <c r="F361" s="3"/>
      <c r="G361" s="3"/>
      <c r="H361" s="3"/>
      <c r="I361" s="3"/>
      <c r="J361" s="3"/>
      <c r="K361" s="3"/>
    </row>
    <row r="362" spans="1:11" hidden="1" x14ac:dyDescent="0.2">
      <c r="A362" s="3"/>
      <c r="B362" s="3"/>
      <c r="C362" s="3"/>
      <c r="D362" s="3"/>
      <c r="E362" s="3"/>
      <c r="F362" s="3"/>
      <c r="G362" s="3"/>
      <c r="H362" s="3"/>
      <c r="I362" s="3"/>
      <c r="J362" s="3"/>
      <c r="K362" s="3"/>
    </row>
    <row r="363" spans="1:11" hidden="1" x14ac:dyDescent="0.2">
      <c r="A363" s="3"/>
      <c r="B363" s="3"/>
      <c r="C363" s="3"/>
      <c r="D363" s="3"/>
      <c r="E363" s="3"/>
      <c r="F363" s="3"/>
      <c r="G363" s="3"/>
      <c r="H363" s="3"/>
      <c r="I363" s="3"/>
      <c r="J363" s="3"/>
      <c r="K363" s="3"/>
    </row>
    <row r="364" spans="1:11" hidden="1" x14ac:dyDescent="0.2">
      <c r="A364" s="3"/>
      <c r="B364" s="3"/>
      <c r="C364" s="3"/>
      <c r="D364" s="3"/>
      <c r="E364" s="3"/>
      <c r="F364" s="3"/>
      <c r="G364" s="3"/>
      <c r="H364" s="3"/>
      <c r="I364" s="3"/>
      <c r="J364" s="3"/>
      <c r="K364" s="3"/>
    </row>
    <row r="365" spans="1:11" hidden="1" x14ac:dyDescent="0.2">
      <c r="A365" s="3"/>
      <c r="B365" s="3"/>
      <c r="C365" s="3"/>
      <c r="D365" s="3"/>
      <c r="E365" s="3"/>
      <c r="F365" s="3"/>
      <c r="G365" s="3"/>
      <c r="H365" s="3"/>
      <c r="I365" s="3"/>
      <c r="J365" s="3"/>
      <c r="K365" s="3"/>
    </row>
    <row r="366" spans="1:11" hidden="1" x14ac:dyDescent="0.2">
      <c r="A366" s="3"/>
      <c r="B366" s="3"/>
      <c r="C366" s="3"/>
      <c r="D366" s="3"/>
      <c r="E366" s="3"/>
      <c r="F366" s="3"/>
      <c r="G366" s="3"/>
      <c r="H366" s="3"/>
      <c r="I366" s="3"/>
      <c r="J366" s="3"/>
      <c r="K366" s="3"/>
    </row>
    <row r="367" spans="1:11" hidden="1" x14ac:dyDescent="0.2">
      <c r="A367" s="3"/>
      <c r="B367" s="3"/>
      <c r="C367" s="3"/>
      <c r="D367" s="3"/>
      <c r="E367" s="3"/>
      <c r="F367" s="3"/>
      <c r="G367" s="3"/>
      <c r="H367" s="3"/>
      <c r="I367" s="3"/>
      <c r="J367" s="3"/>
      <c r="K367" s="3"/>
    </row>
    <row r="368" spans="1:11" hidden="1" x14ac:dyDescent="0.2">
      <c r="A368" s="3"/>
      <c r="B368" s="3"/>
      <c r="C368" s="3"/>
      <c r="D368" s="3"/>
      <c r="E368" s="3"/>
      <c r="F368" s="3"/>
      <c r="G368" s="3"/>
      <c r="H368" s="3"/>
      <c r="I368" s="3"/>
      <c r="J368" s="3"/>
      <c r="K368" s="3"/>
    </row>
    <row r="369" spans="1:11" hidden="1" x14ac:dyDescent="0.2">
      <c r="A369" s="3"/>
      <c r="B369" s="3"/>
      <c r="C369" s="3"/>
      <c r="D369" s="3"/>
      <c r="E369" s="3"/>
      <c r="F369" s="3"/>
      <c r="G369" s="3"/>
      <c r="H369" s="3"/>
      <c r="I369" s="3"/>
      <c r="J369" s="3"/>
      <c r="K369" s="3"/>
    </row>
    <row r="370" spans="1:11" hidden="1" x14ac:dyDescent="0.2">
      <c r="A370" s="3"/>
      <c r="B370" s="3"/>
      <c r="C370" s="3"/>
      <c r="D370" s="3"/>
      <c r="E370" s="3"/>
      <c r="F370" s="3"/>
      <c r="G370" s="3"/>
      <c r="H370" s="3"/>
      <c r="I370" s="3"/>
      <c r="J370" s="3"/>
      <c r="K370" s="3"/>
    </row>
    <row r="371" spans="1:11" hidden="1" x14ac:dyDescent="0.2">
      <c r="A371" s="3"/>
      <c r="B371" s="3"/>
      <c r="C371" s="3"/>
      <c r="D371" s="3"/>
      <c r="E371" s="3"/>
      <c r="F371" s="3"/>
      <c r="G371" s="3"/>
      <c r="H371" s="3"/>
      <c r="I371" s="3"/>
      <c r="J371" s="3"/>
      <c r="K371" s="3"/>
    </row>
    <row r="372" spans="1:11" hidden="1" x14ac:dyDescent="0.2">
      <c r="A372" s="3"/>
      <c r="B372" s="3"/>
      <c r="C372" s="3"/>
      <c r="D372" s="3"/>
      <c r="E372" s="3"/>
      <c r="F372" s="3"/>
      <c r="G372" s="3"/>
      <c r="H372" s="3"/>
      <c r="I372" s="3"/>
      <c r="J372" s="3"/>
      <c r="K372" s="3"/>
    </row>
    <row r="373" spans="1:11" hidden="1" x14ac:dyDescent="0.2">
      <c r="A373" s="3"/>
      <c r="B373" s="3"/>
      <c r="C373" s="3"/>
      <c r="D373" s="3"/>
      <c r="E373" s="3"/>
      <c r="F373" s="3"/>
      <c r="G373" s="3"/>
      <c r="H373" s="3"/>
      <c r="I373" s="3"/>
      <c r="J373" s="3"/>
      <c r="K373" s="3"/>
    </row>
    <row r="374" spans="1:11" hidden="1" x14ac:dyDescent="0.2">
      <c r="A374" s="3"/>
      <c r="B374" s="3"/>
      <c r="C374" s="3"/>
      <c r="D374" s="3"/>
      <c r="E374" s="3"/>
      <c r="F374" s="3"/>
      <c r="G374" s="3"/>
      <c r="H374" s="3"/>
      <c r="I374" s="3"/>
      <c r="J374" s="3"/>
      <c r="K374" s="3"/>
    </row>
    <row r="375" spans="1:11" hidden="1" x14ac:dyDescent="0.2">
      <c r="A375" s="3"/>
      <c r="B375" s="3"/>
      <c r="C375" s="3"/>
      <c r="D375" s="3"/>
      <c r="E375" s="3"/>
      <c r="F375" s="3"/>
      <c r="G375" s="3"/>
      <c r="H375" s="3"/>
      <c r="I375" s="3"/>
      <c r="J375" s="3"/>
      <c r="K375" s="3"/>
    </row>
    <row r="376" spans="1:11" hidden="1" x14ac:dyDescent="0.2">
      <c r="A376" s="3"/>
      <c r="B376" s="3"/>
      <c r="C376" s="3"/>
      <c r="D376" s="3"/>
      <c r="E376" s="3"/>
      <c r="F376" s="3"/>
      <c r="G376" s="3"/>
      <c r="H376" s="3"/>
      <c r="I376" s="3"/>
      <c r="J376" s="3"/>
      <c r="K376" s="3"/>
    </row>
    <row r="377" spans="1:11" hidden="1" x14ac:dyDescent="0.2">
      <c r="A377" s="3"/>
      <c r="B377" s="3"/>
      <c r="C377" s="3"/>
      <c r="D377" s="3"/>
      <c r="E377" s="3"/>
      <c r="F377" s="3"/>
      <c r="G377" s="3"/>
      <c r="H377" s="3"/>
      <c r="I377" s="3"/>
      <c r="J377" s="3"/>
      <c r="K377" s="3"/>
    </row>
    <row r="378" spans="1:11" hidden="1" x14ac:dyDescent="0.2">
      <c r="A378" s="3"/>
      <c r="B378" s="3"/>
      <c r="C378" s="3"/>
      <c r="D378" s="3"/>
      <c r="E378" s="3"/>
      <c r="F378" s="3"/>
      <c r="G378" s="3"/>
      <c r="H378" s="3"/>
      <c r="I378" s="3"/>
      <c r="J378" s="3"/>
      <c r="K378" s="3"/>
    </row>
    <row r="379" spans="1:11" hidden="1" x14ac:dyDescent="0.2">
      <c r="A379" s="3"/>
      <c r="B379" s="3"/>
      <c r="C379" s="3"/>
      <c r="D379" s="3"/>
      <c r="E379" s="3"/>
      <c r="F379" s="3"/>
      <c r="G379" s="3"/>
      <c r="H379" s="3"/>
      <c r="I379" s="3"/>
      <c r="J379" s="3"/>
      <c r="K379" s="3"/>
    </row>
    <row r="380" spans="1:11" hidden="1" x14ac:dyDescent="0.2">
      <c r="A380" s="3"/>
      <c r="B380" s="3"/>
      <c r="C380" s="3"/>
      <c r="D380" s="3"/>
      <c r="E380" s="3"/>
      <c r="F380" s="3"/>
      <c r="G380" s="3"/>
      <c r="H380" s="3"/>
      <c r="I380" s="3"/>
      <c r="J380" s="3"/>
      <c r="K380" s="3"/>
    </row>
    <row r="381" spans="1:11" hidden="1" x14ac:dyDescent="0.2">
      <c r="A381" s="3"/>
      <c r="B381" s="3"/>
      <c r="C381" s="3"/>
      <c r="D381" s="3"/>
      <c r="E381" s="3"/>
      <c r="F381" s="3"/>
      <c r="G381" s="3"/>
      <c r="H381" s="3"/>
      <c r="I381" s="3"/>
      <c r="J381" s="3"/>
      <c r="K381" s="3"/>
    </row>
    <row r="382" spans="1:11" hidden="1" x14ac:dyDescent="0.2">
      <c r="A382" s="3"/>
      <c r="B382" s="3"/>
      <c r="C382" s="3"/>
      <c r="D382" s="3"/>
      <c r="E382" s="3"/>
      <c r="F382" s="3"/>
      <c r="G382" s="3"/>
      <c r="H382" s="3"/>
      <c r="I382" s="3"/>
      <c r="J382" s="3"/>
      <c r="K382" s="3"/>
    </row>
    <row r="383" spans="1:11" hidden="1" x14ac:dyDescent="0.2">
      <c r="A383" s="3"/>
      <c r="B383" s="3"/>
      <c r="C383" s="3"/>
      <c r="D383" s="3"/>
      <c r="E383" s="3"/>
      <c r="F383" s="3"/>
      <c r="G383" s="3"/>
      <c r="H383" s="3"/>
      <c r="I383" s="3"/>
      <c r="J383" s="3"/>
      <c r="K383" s="3"/>
    </row>
    <row r="384" spans="1:11" hidden="1" x14ac:dyDescent="0.2">
      <c r="A384" s="3"/>
      <c r="B384" s="3"/>
      <c r="C384" s="3"/>
      <c r="D384" s="3"/>
      <c r="E384" s="3"/>
      <c r="F384" s="3"/>
      <c r="G384" s="3"/>
      <c r="H384" s="3"/>
      <c r="I384" s="3"/>
      <c r="J384" s="3"/>
      <c r="K384" s="3"/>
    </row>
    <row r="385" spans="1:11" hidden="1" x14ac:dyDescent="0.2">
      <c r="A385" s="3"/>
      <c r="B385" s="3"/>
      <c r="C385" s="3"/>
      <c r="D385" s="3"/>
      <c r="E385" s="3"/>
      <c r="F385" s="3"/>
      <c r="G385" s="3"/>
      <c r="H385" s="3"/>
      <c r="I385" s="3"/>
      <c r="J385" s="3"/>
      <c r="K385" s="3"/>
    </row>
    <row r="386" spans="1:11" hidden="1" x14ac:dyDescent="0.2">
      <c r="A386" s="3"/>
      <c r="B386" s="3"/>
      <c r="C386" s="3"/>
      <c r="D386" s="3"/>
      <c r="E386" s="3"/>
      <c r="F386" s="3"/>
      <c r="G386" s="3"/>
      <c r="H386" s="3"/>
      <c r="I386" s="3"/>
      <c r="J386" s="3"/>
      <c r="K386" s="3"/>
    </row>
    <row r="387" spans="1:11" hidden="1" x14ac:dyDescent="0.2">
      <c r="A387" s="3"/>
      <c r="B387" s="3"/>
      <c r="C387" s="3"/>
      <c r="D387" s="3"/>
      <c r="E387" s="3"/>
      <c r="F387" s="3"/>
      <c r="G387" s="3"/>
      <c r="H387" s="3"/>
      <c r="I387" s="3"/>
      <c r="J387" s="3"/>
      <c r="K387" s="3"/>
    </row>
    <row r="388" spans="1:11" hidden="1" x14ac:dyDescent="0.2">
      <c r="A388" s="3"/>
      <c r="B388" s="3"/>
      <c r="C388" s="3"/>
      <c r="D388" s="3"/>
      <c r="E388" s="3"/>
      <c r="F388" s="3"/>
      <c r="G388" s="3"/>
      <c r="H388" s="3"/>
      <c r="I388" s="3"/>
      <c r="J388" s="3"/>
      <c r="K388" s="3"/>
    </row>
    <row r="389" spans="1:11" hidden="1" x14ac:dyDescent="0.2">
      <c r="A389" s="3"/>
      <c r="B389" s="3"/>
      <c r="C389" s="3"/>
      <c r="D389" s="3"/>
      <c r="E389" s="3"/>
      <c r="F389" s="3"/>
      <c r="G389" s="3"/>
      <c r="H389" s="3"/>
      <c r="I389" s="3"/>
      <c r="J389" s="3"/>
      <c r="K389" s="3"/>
    </row>
    <row r="390" spans="1:11" hidden="1" x14ac:dyDescent="0.2">
      <c r="A390" s="3"/>
      <c r="B390" s="3"/>
      <c r="C390" s="3"/>
      <c r="D390" s="3"/>
      <c r="E390" s="3"/>
      <c r="F390" s="3"/>
      <c r="G390" s="3"/>
      <c r="H390" s="3"/>
      <c r="I390" s="3"/>
      <c r="J390" s="3"/>
      <c r="K390" s="3"/>
    </row>
    <row r="391" spans="1:11" hidden="1" x14ac:dyDescent="0.2">
      <c r="A391" s="3"/>
      <c r="B391" s="3"/>
      <c r="C391" s="3"/>
      <c r="D391" s="3"/>
      <c r="E391" s="3"/>
      <c r="F391" s="3"/>
      <c r="G391" s="3"/>
      <c r="H391" s="3"/>
      <c r="I391" s="3"/>
      <c r="J391" s="3"/>
      <c r="K391" s="3"/>
    </row>
    <row r="392" spans="1:11" hidden="1" x14ac:dyDescent="0.2">
      <c r="A392" s="3"/>
      <c r="B392" s="3"/>
      <c r="C392" s="3"/>
      <c r="D392" s="3"/>
      <c r="E392" s="3"/>
      <c r="F392" s="3"/>
      <c r="G392" s="3"/>
      <c r="H392" s="3"/>
      <c r="I392" s="3"/>
      <c r="J392" s="3"/>
      <c r="K392" s="3"/>
    </row>
    <row r="393" spans="1:11" hidden="1" x14ac:dyDescent="0.2">
      <c r="A393" s="3"/>
      <c r="B393" s="3"/>
      <c r="C393" s="3"/>
      <c r="D393" s="3"/>
      <c r="E393" s="3"/>
      <c r="F393" s="3"/>
      <c r="G393" s="3"/>
      <c r="H393" s="3"/>
      <c r="I393" s="3"/>
      <c r="J393" s="3"/>
      <c r="K393" s="3"/>
    </row>
    <row r="394" spans="1:11" hidden="1" x14ac:dyDescent="0.2">
      <c r="A394" s="3"/>
      <c r="B394" s="3"/>
      <c r="C394" s="3"/>
      <c r="D394" s="3"/>
      <c r="E394" s="3"/>
      <c r="F394" s="3"/>
      <c r="G394" s="3"/>
      <c r="H394" s="3"/>
      <c r="I394" s="3"/>
      <c r="J394" s="3"/>
      <c r="K394" s="3"/>
    </row>
    <row r="395" spans="1:11" hidden="1" x14ac:dyDescent="0.2">
      <c r="A395" s="3"/>
      <c r="B395" s="3"/>
      <c r="C395" s="3"/>
      <c r="D395" s="3"/>
      <c r="E395" s="3"/>
      <c r="F395" s="3"/>
      <c r="G395" s="3"/>
      <c r="H395" s="3"/>
      <c r="I395" s="3"/>
      <c r="J395" s="3"/>
      <c r="K395" s="3"/>
    </row>
    <row r="396" spans="1:11" hidden="1" x14ac:dyDescent="0.2">
      <c r="A396" s="3"/>
      <c r="B396" s="3"/>
      <c r="C396" s="3"/>
      <c r="D396" s="3"/>
      <c r="E396" s="3"/>
      <c r="F396" s="3"/>
      <c r="G396" s="3"/>
      <c r="H396" s="3"/>
      <c r="I396" s="3"/>
      <c r="J396" s="3"/>
      <c r="K396" s="3"/>
    </row>
    <row r="397" spans="1:11" hidden="1" x14ac:dyDescent="0.2">
      <c r="A397" s="3"/>
      <c r="B397" s="3"/>
      <c r="C397" s="3"/>
      <c r="D397" s="3"/>
      <c r="E397" s="3"/>
      <c r="F397" s="3"/>
      <c r="G397" s="3"/>
      <c r="H397" s="3"/>
      <c r="I397" s="3"/>
      <c r="J397" s="3"/>
      <c r="K397" s="3"/>
    </row>
    <row r="398" spans="1:11" hidden="1" x14ac:dyDescent="0.2">
      <c r="A398" s="3"/>
      <c r="B398" s="3"/>
      <c r="C398" s="3"/>
      <c r="D398" s="3"/>
      <c r="E398" s="3"/>
      <c r="F398" s="3"/>
      <c r="G398" s="3"/>
      <c r="H398" s="3"/>
      <c r="I398" s="3"/>
      <c r="J398" s="3"/>
      <c r="K398" s="3"/>
    </row>
    <row r="399" spans="1:11" hidden="1" x14ac:dyDescent="0.2">
      <c r="A399" s="3"/>
      <c r="B399" s="3"/>
      <c r="C399" s="3"/>
      <c r="D399" s="3"/>
      <c r="E399" s="3"/>
      <c r="F399" s="3"/>
      <c r="G399" s="3"/>
      <c r="H399" s="3"/>
      <c r="I399" s="3"/>
      <c r="J399" s="3"/>
      <c r="K399" s="3"/>
    </row>
    <row r="400" spans="1:11" hidden="1" x14ac:dyDescent="0.2">
      <c r="A400" s="3"/>
      <c r="B400" s="3"/>
      <c r="C400" s="3"/>
      <c r="D400" s="3"/>
      <c r="E400" s="3"/>
      <c r="F400" s="3"/>
      <c r="G400" s="3"/>
      <c r="H400" s="3"/>
      <c r="I400" s="3"/>
      <c r="J400" s="3"/>
      <c r="K400" s="3"/>
    </row>
    <row r="401" spans="1:11" hidden="1" x14ac:dyDescent="0.2">
      <c r="A401" s="3"/>
      <c r="B401" s="3"/>
      <c r="C401" s="3"/>
      <c r="D401" s="3"/>
      <c r="E401" s="3"/>
      <c r="F401" s="3"/>
      <c r="G401" s="3"/>
      <c r="H401" s="3"/>
      <c r="I401" s="3"/>
      <c r="J401" s="3"/>
      <c r="K401" s="3"/>
    </row>
    <row r="402" spans="1:11" hidden="1" x14ac:dyDescent="0.2">
      <c r="A402" s="3"/>
      <c r="B402" s="3"/>
      <c r="C402" s="3"/>
      <c r="D402" s="3"/>
      <c r="E402" s="3"/>
      <c r="F402" s="3"/>
      <c r="G402" s="3"/>
      <c r="H402" s="3"/>
      <c r="I402" s="3"/>
      <c r="J402" s="3"/>
      <c r="K402" s="3"/>
    </row>
    <row r="403" spans="1:11" hidden="1" x14ac:dyDescent="0.2">
      <c r="A403" s="3"/>
      <c r="B403" s="3"/>
      <c r="C403" s="3"/>
      <c r="D403" s="3"/>
      <c r="E403" s="3"/>
      <c r="F403" s="3"/>
      <c r="G403" s="3"/>
      <c r="H403" s="3"/>
      <c r="I403" s="3"/>
      <c r="J403" s="3"/>
      <c r="K403" s="3"/>
    </row>
    <row r="404" spans="1:11" hidden="1" x14ac:dyDescent="0.2">
      <c r="A404" s="3"/>
      <c r="B404" s="3"/>
      <c r="C404" s="3"/>
      <c r="D404" s="3"/>
      <c r="E404" s="3"/>
      <c r="F404" s="3"/>
      <c r="G404" s="3"/>
      <c r="H404" s="3"/>
      <c r="I404" s="3"/>
      <c r="J404" s="3"/>
      <c r="K404" s="3"/>
    </row>
    <row r="405" spans="1:11" hidden="1" x14ac:dyDescent="0.2">
      <c r="A405" s="3"/>
      <c r="B405" s="3"/>
      <c r="C405" s="3"/>
      <c r="D405" s="3"/>
      <c r="E405" s="3"/>
      <c r="F405" s="3"/>
      <c r="G405" s="3"/>
      <c r="H405" s="3"/>
      <c r="I405" s="3"/>
      <c r="J405" s="3"/>
      <c r="K405" s="3"/>
    </row>
    <row r="406" spans="1:11" hidden="1" x14ac:dyDescent="0.2">
      <c r="A406" s="3"/>
      <c r="B406" s="3"/>
      <c r="C406" s="3"/>
      <c r="D406" s="3"/>
      <c r="E406" s="3"/>
      <c r="F406" s="3"/>
      <c r="G406" s="3"/>
      <c r="H406" s="3"/>
      <c r="I406" s="3"/>
      <c r="J406" s="3"/>
      <c r="K406" s="3"/>
    </row>
    <row r="407" spans="1:11" hidden="1" x14ac:dyDescent="0.2">
      <c r="A407" s="3"/>
      <c r="B407" s="3"/>
      <c r="C407" s="3"/>
      <c r="D407" s="3"/>
      <c r="E407" s="3"/>
      <c r="F407" s="3"/>
      <c r="G407" s="3"/>
      <c r="H407" s="3"/>
      <c r="I407" s="3"/>
      <c r="J407" s="3"/>
      <c r="K407" s="3"/>
    </row>
    <row r="408" spans="1:11" hidden="1" x14ac:dyDescent="0.2">
      <c r="A408" s="3"/>
      <c r="B408" s="3"/>
      <c r="C408" s="3"/>
      <c r="D408" s="3"/>
      <c r="E408" s="3"/>
      <c r="F408" s="3"/>
      <c r="G408" s="3"/>
      <c r="H408" s="3"/>
      <c r="I408" s="3"/>
      <c r="J408" s="3"/>
      <c r="K408" s="3"/>
    </row>
    <row r="409" spans="1:11" hidden="1" x14ac:dyDescent="0.2">
      <c r="A409" s="3"/>
      <c r="B409" s="3"/>
      <c r="C409" s="3"/>
      <c r="D409" s="3"/>
      <c r="E409" s="3"/>
      <c r="F409" s="3"/>
      <c r="G409" s="3"/>
      <c r="H409" s="3"/>
      <c r="I409" s="3"/>
      <c r="J409" s="3"/>
      <c r="K409" s="3"/>
    </row>
    <row r="410" spans="1:11" hidden="1" x14ac:dyDescent="0.2">
      <c r="A410" s="3"/>
      <c r="B410" s="3"/>
      <c r="C410" s="3"/>
      <c r="D410" s="3"/>
      <c r="E410" s="3"/>
      <c r="F410" s="3"/>
      <c r="G410" s="3"/>
      <c r="H410" s="3"/>
      <c r="I410" s="3"/>
      <c r="J410" s="3"/>
      <c r="K410" s="3"/>
    </row>
    <row r="411" spans="1:11" hidden="1" x14ac:dyDescent="0.2">
      <c r="A411" s="3"/>
      <c r="B411" s="3"/>
      <c r="C411" s="3"/>
      <c r="D411" s="3"/>
      <c r="E411" s="3"/>
      <c r="F411" s="3"/>
      <c r="G411" s="3"/>
      <c r="H411" s="3"/>
      <c r="I411" s="3"/>
      <c r="J411" s="3"/>
      <c r="K411" s="3"/>
    </row>
    <row r="412" spans="1:11" hidden="1" x14ac:dyDescent="0.2">
      <c r="A412" s="3"/>
      <c r="B412" s="3"/>
      <c r="C412" s="3"/>
      <c r="D412" s="3"/>
      <c r="E412" s="3"/>
      <c r="F412" s="3"/>
      <c r="G412" s="3"/>
      <c r="H412" s="3"/>
      <c r="I412" s="3"/>
      <c r="J412" s="3"/>
      <c r="K412" s="3"/>
    </row>
    <row r="413" spans="1:11" hidden="1" x14ac:dyDescent="0.2">
      <c r="A413" s="3"/>
      <c r="B413" s="3"/>
      <c r="C413" s="3"/>
      <c r="D413" s="3"/>
      <c r="E413" s="3"/>
      <c r="F413" s="3"/>
      <c r="G413" s="3"/>
      <c r="H413" s="3"/>
      <c r="I413" s="3"/>
      <c r="J413" s="3"/>
      <c r="K413" s="3"/>
    </row>
    <row r="414" spans="1:11" hidden="1" x14ac:dyDescent="0.2">
      <c r="A414" s="3"/>
      <c r="B414" s="3"/>
      <c r="C414" s="3"/>
      <c r="D414" s="3"/>
      <c r="E414" s="3"/>
      <c r="F414" s="3"/>
      <c r="G414" s="3"/>
      <c r="H414" s="3"/>
      <c r="I414" s="3"/>
      <c r="J414" s="3"/>
      <c r="K414" s="3"/>
    </row>
    <row r="415" spans="1:11" hidden="1" x14ac:dyDescent="0.2">
      <c r="A415" s="3"/>
      <c r="B415" s="3"/>
      <c r="C415" s="3"/>
      <c r="D415" s="3"/>
      <c r="E415" s="3"/>
      <c r="F415" s="3"/>
      <c r="G415" s="3"/>
      <c r="H415" s="3"/>
      <c r="I415" s="3"/>
      <c r="J415" s="3"/>
      <c r="K415" s="3"/>
    </row>
    <row r="416" spans="1:11" hidden="1" x14ac:dyDescent="0.2">
      <c r="A416" s="3"/>
      <c r="B416" s="3"/>
      <c r="C416" s="3"/>
      <c r="D416" s="3"/>
      <c r="E416" s="3"/>
      <c r="F416" s="3"/>
      <c r="G416" s="3"/>
      <c r="H416" s="3"/>
      <c r="I416" s="3"/>
      <c r="J416" s="3"/>
      <c r="K416" s="3"/>
    </row>
    <row r="417" spans="1:11" hidden="1" x14ac:dyDescent="0.2">
      <c r="A417" s="3"/>
      <c r="B417" s="3"/>
      <c r="C417" s="3"/>
      <c r="D417" s="3"/>
      <c r="E417" s="3"/>
      <c r="F417" s="3"/>
      <c r="G417" s="3"/>
      <c r="H417" s="3"/>
      <c r="I417" s="3"/>
      <c r="J417" s="3"/>
      <c r="K417" s="3"/>
    </row>
    <row r="418" spans="1:11" hidden="1" x14ac:dyDescent="0.2">
      <c r="A418" s="3"/>
      <c r="B418" s="3"/>
      <c r="C418" s="3"/>
      <c r="D418" s="3"/>
      <c r="E418" s="3"/>
      <c r="F418" s="3"/>
      <c r="G418" s="3"/>
      <c r="H418" s="3"/>
      <c r="I418" s="3"/>
      <c r="J418" s="3"/>
      <c r="K418" s="3"/>
    </row>
    <row r="419" spans="1:11" hidden="1" x14ac:dyDescent="0.2">
      <c r="A419" s="3"/>
      <c r="B419" s="3"/>
      <c r="C419" s="3"/>
      <c r="D419" s="3"/>
      <c r="E419" s="3"/>
      <c r="F419" s="3"/>
      <c r="G419" s="3"/>
      <c r="H419" s="3"/>
      <c r="I419" s="3"/>
      <c r="J419" s="3"/>
      <c r="K419" s="3"/>
    </row>
    <row r="420" spans="1:11" hidden="1" x14ac:dyDescent="0.2">
      <c r="A420" s="3"/>
      <c r="B420" s="3"/>
      <c r="C420" s="3"/>
      <c r="D420" s="3"/>
      <c r="E420" s="3"/>
      <c r="F420" s="3"/>
      <c r="G420" s="3"/>
      <c r="H420" s="3"/>
      <c r="I420" s="3"/>
      <c r="J420" s="3"/>
      <c r="K420" s="3"/>
    </row>
    <row r="421" spans="1:11" hidden="1" x14ac:dyDescent="0.2">
      <c r="A421" s="3"/>
      <c r="B421" s="3"/>
      <c r="C421" s="3"/>
      <c r="D421" s="3"/>
      <c r="E421" s="3"/>
      <c r="F421" s="3"/>
      <c r="G421" s="3"/>
      <c r="H421" s="3"/>
      <c r="I421" s="3"/>
      <c r="J421" s="3"/>
      <c r="K421" s="3"/>
    </row>
    <row r="422" spans="1:11" hidden="1" x14ac:dyDescent="0.2">
      <c r="A422" s="3"/>
      <c r="B422" s="3"/>
      <c r="C422" s="3"/>
      <c r="D422" s="3"/>
      <c r="E422" s="3"/>
      <c r="F422" s="3"/>
      <c r="G422" s="3"/>
      <c r="H422" s="3"/>
      <c r="I422" s="3"/>
      <c r="J422" s="3"/>
      <c r="K422" s="3"/>
    </row>
    <row r="423" spans="1:11" hidden="1" x14ac:dyDescent="0.2">
      <c r="A423" s="3"/>
      <c r="B423" s="3"/>
      <c r="C423" s="3"/>
      <c r="D423" s="3"/>
      <c r="E423" s="3"/>
      <c r="F423" s="3"/>
      <c r="G423" s="3"/>
      <c r="H423" s="3"/>
      <c r="I423" s="3"/>
      <c r="J423" s="3"/>
      <c r="K423" s="3"/>
    </row>
    <row r="424" spans="1:11" hidden="1" x14ac:dyDescent="0.2">
      <c r="A424" s="3"/>
      <c r="B424" s="3"/>
      <c r="C424" s="3"/>
      <c r="D424" s="3"/>
      <c r="E424" s="3"/>
      <c r="F424" s="3"/>
      <c r="G424" s="3"/>
      <c r="H424" s="3"/>
      <c r="I424" s="3"/>
      <c r="J424" s="3"/>
      <c r="K424" s="3"/>
    </row>
    <row r="425" spans="1:11" hidden="1" x14ac:dyDescent="0.2">
      <c r="A425" s="3"/>
      <c r="B425" s="3"/>
      <c r="C425" s="3"/>
      <c r="D425" s="3"/>
      <c r="E425" s="3"/>
      <c r="F425" s="3"/>
      <c r="G425" s="3"/>
      <c r="H425" s="3"/>
      <c r="I425" s="3"/>
      <c r="J425" s="3"/>
      <c r="K425" s="3"/>
    </row>
    <row r="426" spans="1:11" hidden="1" x14ac:dyDescent="0.2">
      <c r="A426" s="3"/>
      <c r="B426" s="3"/>
      <c r="C426" s="3"/>
      <c r="D426" s="3"/>
      <c r="E426" s="3"/>
      <c r="F426" s="3"/>
      <c r="G426" s="3"/>
      <c r="H426" s="3"/>
      <c r="I426" s="3"/>
      <c r="J426" s="3"/>
      <c r="K426" s="3"/>
    </row>
    <row r="427" spans="1:11" hidden="1" x14ac:dyDescent="0.2">
      <c r="A427" s="3"/>
      <c r="B427" s="3"/>
      <c r="C427" s="3"/>
      <c r="D427" s="3"/>
      <c r="E427" s="3"/>
      <c r="F427" s="3"/>
      <c r="G427" s="3"/>
      <c r="H427" s="3"/>
      <c r="I427" s="3"/>
      <c r="J427" s="3"/>
      <c r="K427" s="3"/>
    </row>
    <row r="428" spans="1:11" hidden="1" x14ac:dyDescent="0.2">
      <c r="A428" s="3"/>
      <c r="B428" s="3"/>
      <c r="C428" s="3"/>
      <c r="D428" s="3"/>
      <c r="E428" s="3"/>
      <c r="F428" s="3"/>
      <c r="G428" s="3"/>
      <c r="H428" s="3"/>
      <c r="I428" s="3"/>
      <c r="J428" s="3"/>
      <c r="K428" s="3"/>
    </row>
    <row r="429" spans="1:11" hidden="1" x14ac:dyDescent="0.2">
      <c r="A429" s="3"/>
      <c r="B429" s="3"/>
      <c r="C429" s="3"/>
      <c r="D429" s="3"/>
      <c r="E429" s="3"/>
      <c r="F429" s="3"/>
      <c r="G429" s="3"/>
      <c r="H429" s="3"/>
      <c r="I429" s="3"/>
      <c r="J429" s="3"/>
      <c r="K429" s="3"/>
    </row>
    <row r="430" spans="1:11" hidden="1" x14ac:dyDescent="0.2">
      <c r="A430" s="3"/>
      <c r="B430" s="3"/>
      <c r="C430" s="3"/>
      <c r="D430" s="3"/>
      <c r="E430" s="3"/>
      <c r="F430" s="3"/>
      <c r="G430" s="3"/>
      <c r="H430" s="3"/>
      <c r="I430" s="3"/>
      <c r="J430" s="3"/>
      <c r="K430" s="3"/>
    </row>
    <row r="431" spans="1:11" hidden="1" x14ac:dyDescent="0.2">
      <c r="A431" s="3"/>
      <c r="B431" s="3"/>
      <c r="C431" s="3"/>
      <c r="D431" s="3"/>
      <c r="E431" s="3"/>
      <c r="F431" s="3"/>
      <c r="G431" s="3"/>
      <c r="H431" s="3"/>
      <c r="I431" s="3"/>
      <c r="J431" s="3"/>
      <c r="K431" s="3"/>
    </row>
    <row r="432" spans="1:11" hidden="1" x14ac:dyDescent="0.2">
      <c r="A432" s="3"/>
      <c r="B432" s="3"/>
      <c r="C432" s="3"/>
      <c r="D432" s="3"/>
      <c r="E432" s="3"/>
      <c r="F432" s="3"/>
      <c r="G432" s="3"/>
      <c r="H432" s="3"/>
      <c r="I432" s="3"/>
      <c r="J432" s="3"/>
      <c r="K432" s="3"/>
    </row>
    <row r="433" spans="1:11" hidden="1" x14ac:dyDescent="0.2">
      <c r="A433" s="3"/>
      <c r="B433" s="3"/>
      <c r="C433" s="3"/>
      <c r="D433" s="3"/>
      <c r="E433" s="3"/>
      <c r="F433" s="3"/>
      <c r="G433" s="3"/>
      <c r="H433" s="3"/>
      <c r="I433" s="3"/>
      <c r="J433" s="3"/>
      <c r="K433" s="3"/>
    </row>
    <row r="434" spans="1:11" hidden="1" x14ac:dyDescent="0.2">
      <c r="A434" s="3"/>
      <c r="B434" s="3"/>
      <c r="C434" s="3"/>
      <c r="D434" s="3"/>
      <c r="E434" s="3"/>
      <c r="F434" s="3"/>
      <c r="G434" s="3"/>
      <c r="H434" s="3"/>
      <c r="I434" s="3"/>
      <c r="J434" s="3"/>
      <c r="K434" s="3"/>
    </row>
    <row r="435" spans="1:11" hidden="1" x14ac:dyDescent="0.2">
      <c r="A435" s="3"/>
      <c r="B435" s="3"/>
      <c r="C435" s="3"/>
      <c r="D435" s="3"/>
      <c r="E435" s="3"/>
      <c r="F435" s="3"/>
      <c r="G435" s="3"/>
      <c r="H435" s="3"/>
      <c r="I435" s="3"/>
      <c r="J435" s="3"/>
      <c r="K435" s="3"/>
    </row>
    <row r="436" spans="1:11" hidden="1" x14ac:dyDescent="0.2">
      <c r="A436" s="3"/>
      <c r="B436" s="3"/>
      <c r="C436" s="3"/>
      <c r="D436" s="3"/>
      <c r="E436" s="3"/>
      <c r="F436" s="3"/>
      <c r="G436" s="3"/>
      <c r="H436" s="3"/>
      <c r="I436" s="3"/>
      <c r="J436" s="3"/>
      <c r="K436" s="3"/>
    </row>
    <row r="437" spans="1:11" hidden="1" x14ac:dyDescent="0.2">
      <c r="A437" s="3"/>
      <c r="B437" s="3"/>
      <c r="C437" s="3"/>
      <c r="D437" s="3"/>
      <c r="E437" s="3"/>
      <c r="F437" s="3"/>
      <c r="G437" s="3"/>
      <c r="H437" s="3"/>
      <c r="I437" s="3"/>
      <c r="J437" s="3"/>
      <c r="K437" s="3"/>
    </row>
    <row r="438" spans="1:11" hidden="1" x14ac:dyDescent="0.2">
      <c r="A438" s="3"/>
      <c r="B438" s="3"/>
      <c r="C438" s="3"/>
      <c r="D438" s="3"/>
      <c r="E438" s="3"/>
      <c r="F438" s="3"/>
      <c r="G438" s="3"/>
      <c r="H438" s="3"/>
      <c r="I438" s="3"/>
      <c r="J438" s="3"/>
      <c r="K438" s="3"/>
    </row>
    <row r="439" spans="1:11" hidden="1" x14ac:dyDescent="0.2">
      <c r="A439" s="3"/>
      <c r="B439" s="3"/>
      <c r="C439" s="3"/>
      <c r="D439" s="3"/>
      <c r="E439" s="3"/>
      <c r="F439" s="3"/>
      <c r="G439" s="3"/>
      <c r="H439" s="3"/>
      <c r="I439" s="3"/>
      <c r="J439" s="3"/>
      <c r="K439" s="3"/>
    </row>
    <row r="440" spans="1:11" hidden="1" x14ac:dyDescent="0.2">
      <c r="A440" s="3"/>
      <c r="B440" s="3"/>
      <c r="C440" s="3"/>
      <c r="D440" s="3"/>
      <c r="E440" s="3"/>
      <c r="F440" s="3"/>
      <c r="G440" s="3"/>
      <c r="H440" s="3"/>
      <c r="I440" s="3"/>
      <c r="J440" s="3"/>
      <c r="K440" s="3"/>
    </row>
    <row r="441" spans="1:11" hidden="1" x14ac:dyDescent="0.2">
      <c r="A441" s="3"/>
      <c r="B441" s="3"/>
      <c r="C441" s="3"/>
      <c r="D441" s="3"/>
      <c r="E441" s="3"/>
      <c r="F441" s="3"/>
      <c r="G441" s="3"/>
      <c r="H441" s="3"/>
      <c r="I441" s="3"/>
      <c r="J441" s="3"/>
      <c r="K441" s="3"/>
    </row>
    <row r="442" spans="1:11" hidden="1" x14ac:dyDescent="0.2">
      <c r="A442" s="3"/>
      <c r="B442" s="3"/>
      <c r="C442" s="3"/>
      <c r="D442" s="3"/>
      <c r="E442" s="3"/>
      <c r="F442" s="3"/>
      <c r="G442" s="3"/>
      <c r="H442" s="3"/>
      <c r="I442" s="3"/>
      <c r="J442" s="3"/>
      <c r="K442" s="3"/>
    </row>
    <row r="443" spans="1:11" hidden="1" x14ac:dyDescent="0.2">
      <c r="A443" s="3"/>
      <c r="B443" s="3"/>
      <c r="C443" s="3"/>
      <c r="D443" s="3"/>
      <c r="E443" s="3"/>
      <c r="F443" s="3"/>
      <c r="G443" s="3"/>
      <c r="H443" s="3"/>
      <c r="I443" s="3"/>
      <c r="J443" s="3"/>
      <c r="K443" s="3"/>
    </row>
    <row r="444" spans="1:11" hidden="1" x14ac:dyDescent="0.2">
      <c r="A444" s="3"/>
      <c r="B444" s="3"/>
      <c r="C444" s="3"/>
      <c r="D444" s="3"/>
      <c r="E444" s="3"/>
      <c r="F444" s="3"/>
      <c r="G444" s="3"/>
      <c r="H444" s="3"/>
      <c r="I444" s="3"/>
      <c r="J444" s="3"/>
      <c r="K444" s="3"/>
    </row>
    <row r="445" spans="1:11" hidden="1" x14ac:dyDescent="0.2">
      <c r="A445" s="3"/>
      <c r="B445" s="3"/>
      <c r="C445" s="3"/>
      <c r="D445" s="3"/>
      <c r="E445" s="3"/>
      <c r="F445" s="3"/>
      <c r="G445" s="3"/>
      <c r="H445" s="3"/>
      <c r="I445" s="3"/>
      <c r="J445" s="3"/>
      <c r="K445" s="3"/>
    </row>
    <row r="446" spans="1:11" hidden="1" x14ac:dyDescent="0.2">
      <c r="A446" s="3"/>
      <c r="B446" s="3"/>
      <c r="C446" s="3"/>
      <c r="D446" s="3"/>
      <c r="E446" s="3"/>
      <c r="F446" s="3"/>
      <c r="G446" s="3"/>
      <c r="H446" s="3"/>
      <c r="I446" s="3"/>
      <c r="J446" s="3"/>
      <c r="K446" s="3"/>
    </row>
    <row r="447" spans="1:11" hidden="1" x14ac:dyDescent="0.2">
      <c r="A447" s="3"/>
      <c r="B447" s="3"/>
      <c r="C447" s="3"/>
      <c r="D447" s="3"/>
      <c r="E447" s="3"/>
      <c r="F447" s="3"/>
      <c r="G447" s="3"/>
      <c r="H447" s="3"/>
      <c r="I447" s="3"/>
      <c r="J447" s="3"/>
      <c r="K447" s="3"/>
    </row>
    <row r="448" spans="1:11" hidden="1" x14ac:dyDescent="0.2">
      <c r="A448" s="3"/>
      <c r="B448" s="3"/>
      <c r="C448" s="3"/>
      <c r="D448" s="3"/>
      <c r="E448" s="3"/>
      <c r="F448" s="3"/>
      <c r="G448" s="3"/>
      <c r="H448" s="3"/>
      <c r="I448" s="3"/>
      <c r="J448" s="3"/>
      <c r="K448" s="3"/>
    </row>
    <row r="449" spans="1:11" hidden="1" x14ac:dyDescent="0.2">
      <c r="A449" s="3"/>
      <c r="B449" s="3"/>
      <c r="C449" s="3"/>
      <c r="D449" s="3"/>
      <c r="E449" s="3"/>
      <c r="F449" s="3"/>
      <c r="G449" s="3"/>
      <c r="H449" s="3"/>
      <c r="I449" s="3"/>
      <c r="J449" s="3"/>
      <c r="K449" s="3"/>
    </row>
    <row r="450" spans="1:11" hidden="1" x14ac:dyDescent="0.2">
      <c r="A450" s="3"/>
      <c r="B450" s="3"/>
      <c r="C450" s="3"/>
      <c r="D450" s="3"/>
      <c r="E450" s="3"/>
      <c r="F450" s="3"/>
      <c r="G450" s="3"/>
      <c r="H450" s="3"/>
      <c r="I450" s="3"/>
      <c r="J450" s="3"/>
      <c r="K450" s="3"/>
    </row>
    <row r="451" spans="1:11" hidden="1" x14ac:dyDescent="0.2">
      <c r="A451" s="3"/>
      <c r="B451" s="3"/>
      <c r="C451" s="3"/>
      <c r="D451" s="3"/>
      <c r="E451" s="3"/>
      <c r="F451" s="3"/>
      <c r="G451" s="3"/>
      <c r="H451" s="3"/>
      <c r="I451" s="3"/>
      <c r="J451" s="3"/>
      <c r="K451" s="3"/>
    </row>
    <row r="452" spans="1:11" hidden="1" x14ac:dyDescent="0.2">
      <c r="A452" s="3"/>
      <c r="B452" s="3"/>
      <c r="C452" s="3"/>
      <c r="D452" s="3"/>
      <c r="E452" s="3"/>
      <c r="F452" s="3"/>
      <c r="G452" s="3"/>
      <c r="H452" s="3"/>
      <c r="I452" s="3"/>
      <c r="J452" s="3"/>
      <c r="K452" s="3"/>
    </row>
    <row r="453" spans="1:11" hidden="1" x14ac:dyDescent="0.2">
      <c r="A453" s="3"/>
      <c r="B453" s="3"/>
      <c r="C453" s="3"/>
      <c r="D453" s="3"/>
      <c r="E453" s="3"/>
      <c r="F453" s="3"/>
      <c r="G453" s="3"/>
      <c r="H453" s="3"/>
      <c r="I453" s="3"/>
      <c r="J453" s="3"/>
      <c r="K453" s="3"/>
    </row>
    <row r="454" spans="1:11" hidden="1" x14ac:dyDescent="0.2">
      <c r="A454" s="3"/>
      <c r="B454" s="3"/>
      <c r="C454" s="3"/>
      <c r="D454" s="3"/>
      <c r="E454" s="3"/>
      <c r="F454" s="3"/>
      <c r="G454" s="3"/>
      <c r="H454" s="3"/>
      <c r="I454" s="3"/>
      <c r="J454" s="3"/>
      <c r="K454" s="3"/>
    </row>
    <row r="455" spans="1:11" hidden="1" x14ac:dyDescent="0.2">
      <c r="A455" s="3"/>
      <c r="B455" s="3"/>
      <c r="C455" s="3"/>
      <c r="D455" s="3"/>
      <c r="E455" s="3"/>
      <c r="F455" s="3"/>
      <c r="G455" s="3"/>
      <c r="H455" s="3"/>
      <c r="I455" s="3"/>
      <c r="J455" s="3"/>
      <c r="K455" s="3"/>
    </row>
    <row r="456" spans="1:11" hidden="1" x14ac:dyDescent="0.2">
      <c r="A456" s="3"/>
      <c r="B456" s="3"/>
      <c r="C456" s="3"/>
      <c r="D456" s="3"/>
      <c r="E456" s="3"/>
      <c r="F456" s="3"/>
      <c r="G456" s="3"/>
      <c r="H456" s="3"/>
      <c r="I456" s="3"/>
      <c r="J456" s="3"/>
      <c r="K456" s="3"/>
    </row>
    <row r="457" spans="1:11" hidden="1" x14ac:dyDescent="0.2">
      <c r="A457" s="3"/>
      <c r="B457" s="3"/>
      <c r="C457" s="3"/>
      <c r="D457" s="3"/>
      <c r="E457" s="3"/>
      <c r="F457" s="3"/>
      <c r="G457" s="3"/>
      <c r="H457" s="3"/>
      <c r="I457" s="3"/>
      <c r="J457" s="3"/>
      <c r="K457" s="3"/>
    </row>
    <row r="458" spans="1:11" hidden="1" x14ac:dyDescent="0.2">
      <c r="A458" s="3"/>
      <c r="B458" s="3"/>
      <c r="C458" s="3"/>
      <c r="D458" s="3"/>
      <c r="E458" s="3"/>
      <c r="F458" s="3"/>
      <c r="G458" s="3"/>
      <c r="H458" s="3"/>
      <c r="I458" s="3"/>
      <c r="J458" s="3"/>
      <c r="K458" s="3"/>
    </row>
    <row r="459" spans="1:11" hidden="1" x14ac:dyDescent="0.2">
      <c r="A459" s="3"/>
      <c r="B459" s="3"/>
      <c r="C459" s="3"/>
      <c r="D459" s="3"/>
      <c r="E459" s="3"/>
      <c r="F459" s="3"/>
      <c r="G459" s="3"/>
      <c r="H459" s="3"/>
      <c r="I459" s="3"/>
      <c r="J459" s="3"/>
      <c r="K459" s="3"/>
    </row>
    <row r="460" spans="1:11" hidden="1" x14ac:dyDescent="0.2">
      <c r="A460" s="3"/>
      <c r="B460" s="3"/>
      <c r="C460" s="3"/>
      <c r="D460" s="3"/>
      <c r="E460" s="3"/>
      <c r="F460" s="3"/>
      <c r="G460" s="3"/>
      <c r="H460" s="3"/>
      <c r="I460" s="3"/>
      <c r="J460" s="3"/>
      <c r="K460" s="3"/>
    </row>
    <row r="461" spans="1:11" hidden="1" x14ac:dyDescent="0.2">
      <c r="A461" s="3"/>
      <c r="B461" s="3"/>
      <c r="C461" s="3"/>
      <c r="D461" s="3"/>
      <c r="E461" s="3"/>
      <c r="F461" s="3"/>
      <c r="G461" s="3"/>
      <c r="H461" s="3"/>
      <c r="I461" s="3"/>
      <c r="J461" s="3"/>
      <c r="K461" s="3"/>
    </row>
    <row r="462" spans="1:11" hidden="1" x14ac:dyDescent="0.2">
      <c r="A462" s="3"/>
      <c r="B462" s="3"/>
      <c r="C462" s="3"/>
      <c r="D462" s="3"/>
      <c r="E462" s="3"/>
      <c r="F462" s="3"/>
      <c r="G462" s="3"/>
      <c r="H462" s="3"/>
      <c r="I462" s="3"/>
      <c r="J462" s="3"/>
      <c r="K462" s="3"/>
    </row>
    <row r="463" spans="1:11" hidden="1" x14ac:dyDescent="0.2">
      <c r="A463" s="3"/>
      <c r="B463" s="3"/>
      <c r="C463" s="3"/>
      <c r="D463" s="3"/>
      <c r="E463" s="3"/>
      <c r="F463" s="3"/>
      <c r="G463" s="3"/>
      <c r="H463" s="3"/>
      <c r="I463" s="3"/>
      <c r="J463" s="3"/>
      <c r="K463" s="3"/>
    </row>
    <row r="464" spans="1:11" hidden="1" x14ac:dyDescent="0.2">
      <c r="A464" s="3"/>
      <c r="B464" s="3"/>
      <c r="C464" s="3"/>
      <c r="D464" s="3"/>
      <c r="E464" s="3"/>
      <c r="F464" s="3"/>
      <c r="G464" s="3"/>
      <c r="H464" s="3"/>
      <c r="I464" s="3"/>
      <c r="J464" s="3"/>
      <c r="K464" s="3"/>
    </row>
    <row r="465" spans="1:11" hidden="1" x14ac:dyDescent="0.2">
      <c r="A465" s="3"/>
      <c r="B465" s="3"/>
      <c r="C465" s="3"/>
      <c r="D465" s="3"/>
      <c r="E465" s="3"/>
      <c r="F465" s="3"/>
      <c r="G465" s="3"/>
      <c r="H465" s="3"/>
      <c r="I465" s="3"/>
      <c r="J465" s="3"/>
      <c r="K465" s="3"/>
    </row>
    <row r="466" spans="1:11" hidden="1" x14ac:dyDescent="0.2">
      <c r="A466" s="3"/>
      <c r="B466" s="3"/>
      <c r="C466" s="3"/>
      <c r="D466" s="3"/>
      <c r="E466" s="3"/>
      <c r="F466" s="3"/>
      <c r="G466" s="3"/>
      <c r="H466" s="3"/>
      <c r="I466" s="3"/>
      <c r="J466" s="3"/>
      <c r="K466" s="3"/>
    </row>
    <row r="467" spans="1:11" hidden="1" x14ac:dyDescent="0.2">
      <c r="A467" s="3"/>
      <c r="B467" s="3"/>
      <c r="C467" s="3"/>
      <c r="D467" s="3"/>
      <c r="E467" s="3"/>
      <c r="F467" s="3"/>
      <c r="G467" s="3"/>
      <c r="H467" s="3"/>
      <c r="I467" s="3"/>
      <c r="J467" s="3"/>
      <c r="K467" s="3"/>
    </row>
    <row r="468" spans="1:11" hidden="1" x14ac:dyDescent="0.2">
      <c r="A468" s="3"/>
      <c r="B468" s="3"/>
      <c r="C468" s="3"/>
      <c r="D468" s="3"/>
      <c r="E468" s="3"/>
      <c r="F468" s="3"/>
      <c r="G468" s="3"/>
      <c r="H468" s="3"/>
      <c r="I468" s="3"/>
      <c r="J468" s="3"/>
      <c r="K468" s="3"/>
    </row>
    <row r="469" spans="1:11" hidden="1" x14ac:dyDescent="0.2">
      <c r="A469" s="3"/>
      <c r="B469" s="3"/>
      <c r="C469" s="3"/>
      <c r="D469" s="3"/>
      <c r="E469" s="3"/>
      <c r="F469" s="3"/>
      <c r="G469" s="3"/>
      <c r="H469" s="3"/>
      <c r="I469" s="3"/>
      <c r="J469" s="3"/>
      <c r="K469" s="3"/>
    </row>
    <row r="470" spans="1:11" hidden="1" x14ac:dyDescent="0.2">
      <c r="A470" s="3"/>
      <c r="B470" s="3"/>
      <c r="C470" s="3"/>
      <c r="D470" s="3"/>
      <c r="E470" s="3"/>
      <c r="F470" s="3"/>
      <c r="G470" s="3"/>
      <c r="H470" s="3"/>
      <c r="I470" s="3"/>
      <c r="J470" s="3"/>
      <c r="K470" s="3"/>
    </row>
    <row r="471" spans="1:11" hidden="1" x14ac:dyDescent="0.2">
      <c r="A471" s="3"/>
      <c r="B471" s="3"/>
      <c r="C471" s="3"/>
      <c r="D471" s="3"/>
      <c r="E471" s="3"/>
      <c r="F471" s="3"/>
      <c r="G471" s="3"/>
      <c r="H471" s="3"/>
      <c r="I471" s="3"/>
      <c r="J471" s="3"/>
      <c r="K471" s="3"/>
    </row>
    <row r="472" spans="1:11" hidden="1" x14ac:dyDescent="0.2">
      <c r="A472" s="3"/>
      <c r="B472" s="3"/>
      <c r="C472" s="3"/>
      <c r="D472" s="3"/>
      <c r="E472" s="3"/>
      <c r="F472" s="3"/>
      <c r="G472" s="3"/>
      <c r="H472" s="3"/>
      <c r="I472" s="3"/>
      <c r="J472" s="3"/>
      <c r="K472" s="3"/>
    </row>
    <row r="473" spans="1:11" hidden="1" x14ac:dyDescent="0.2">
      <c r="A473" s="3"/>
      <c r="B473" s="3"/>
      <c r="C473" s="3"/>
      <c r="D473" s="3"/>
      <c r="E473" s="3"/>
      <c r="F473" s="3"/>
      <c r="G473" s="3"/>
      <c r="H473" s="3"/>
      <c r="I473" s="3"/>
      <c r="J473" s="3"/>
      <c r="K473" s="3"/>
    </row>
    <row r="474" spans="1:11" hidden="1" x14ac:dyDescent="0.2">
      <c r="A474" s="3"/>
      <c r="B474" s="3"/>
      <c r="C474" s="3"/>
      <c r="D474" s="3"/>
      <c r="E474" s="3"/>
      <c r="F474" s="3"/>
      <c r="G474" s="3"/>
      <c r="H474" s="3"/>
      <c r="I474" s="3"/>
      <c r="J474" s="3"/>
      <c r="K474" s="3"/>
    </row>
    <row r="475" spans="1:11" hidden="1" x14ac:dyDescent="0.2">
      <c r="A475" s="3"/>
      <c r="B475" s="3"/>
      <c r="C475" s="3"/>
      <c r="D475" s="3"/>
      <c r="E475" s="3"/>
      <c r="F475" s="3"/>
      <c r="G475" s="3"/>
      <c r="H475" s="3"/>
      <c r="I475" s="3"/>
      <c r="J475" s="3"/>
      <c r="K475" s="3"/>
    </row>
    <row r="476" spans="1:11" hidden="1" x14ac:dyDescent="0.2">
      <c r="A476" s="3"/>
      <c r="B476" s="3"/>
      <c r="C476" s="3"/>
      <c r="D476" s="3"/>
      <c r="E476" s="3"/>
      <c r="F476" s="3"/>
      <c r="G476" s="3"/>
      <c r="H476" s="3"/>
      <c r="I476" s="3"/>
      <c r="J476" s="3"/>
      <c r="K476" s="3"/>
    </row>
    <row r="477" spans="1:11" hidden="1" x14ac:dyDescent="0.2">
      <c r="A477" s="3"/>
      <c r="B477" s="3"/>
      <c r="C477" s="3"/>
      <c r="D477" s="3"/>
      <c r="E477" s="3"/>
      <c r="F477" s="3"/>
      <c r="G477" s="3"/>
      <c r="H477" s="3"/>
      <c r="I477" s="3"/>
      <c r="J477" s="3"/>
      <c r="K477" s="3"/>
    </row>
    <row r="478" spans="1:11" hidden="1" x14ac:dyDescent="0.2">
      <c r="A478" s="3"/>
      <c r="B478" s="3"/>
      <c r="C478" s="3"/>
      <c r="D478" s="3"/>
      <c r="E478" s="3"/>
      <c r="F478" s="3"/>
      <c r="G478" s="3"/>
      <c r="H478" s="3"/>
      <c r="I478" s="3"/>
      <c r="J478" s="3"/>
      <c r="K478" s="3"/>
    </row>
    <row r="479" spans="1:11" hidden="1" x14ac:dyDescent="0.2">
      <c r="A479" s="3"/>
      <c r="B479" s="3"/>
      <c r="C479" s="3"/>
      <c r="D479" s="3"/>
      <c r="E479" s="3"/>
      <c r="F479" s="3"/>
      <c r="G479" s="3"/>
      <c r="H479" s="3"/>
      <c r="I479" s="3"/>
      <c r="J479" s="3"/>
      <c r="K479" s="3"/>
    </row>
    <row r="480" spans="1:11" hidden="1" x14ac:dyDescent="0.2">
      <c r="A480" s="3"/>
      <c r="B480" s="3"/>
      <c r="C480" s="3"/>
      <c r="D480" s="3"/>
      <c r="E480" s="3"/>
      <c r="F480" s="3"/>
      <c r="G480" s="3"/>
      <c r="H480" s="3"/>
      <c r="I480" s="3"/>
      <c r="J480" s="3"/>
      <c r="K480" s="3"/>
    </row>
    <row r="481" spans="1:11" hidden="1" x14ac:dyDescent="0.2">
      <c r="A481" s="3"/>
      <c r="B481" s="3"/>
      <c r="C481" s="3"/>
      <c r="D481" s="3"/>
      <c r="E481" s="3"/>
      <c r="F481" s="3"/>
      <c r="G481" s="3"/>
      <c r="H481" s="3"/>
      <c r="I481" s="3"/>
      <c r="J481" s="3"/>
      <c r="K481" s="3"/>
    </row>
    <row r="482" spans="1:11" hidden="1" x14ac:dyDescent="0.2">
      <c r="A482" s="3"/>
      <c r="B482" s="3"/>
      <c r="C482" s="3"/>
      <c r="D482" s="3"/>
      <c r="E482" s="3"/>
      <c r="F482" s="3"/>
      <c r="G482" s="3"/>
      <c r="H482" s="3"/>
      <c r="I482" s="3"/>
      <c r="J482" s="3"/>
      <c r="K482" s="3"/>
    </row>
    <row r="483" spans="1:11" hidden="1" x14ac:dyDescent="0.2">
      <c r="A483" s="3"/>
      <c r="B483" s="3"/>
      <c r="C483" s="3"/>
      <c r="D483" s="3"/>
      <c r="E483" s="3"/>
      <c r="F483" s="3"/>
      <c r="G483" s="3"/>
      <c r="H483" s="3"/>
      <c r="I483" s="3"/>
      <c r="J483" s="3"/>
      <c r="K483" s="3"/>
    </row>
    <row r="484" spans="1:11" hidden="1" x14ac:dyDescent="0.2">
      <c r="A484" s="3"/>
      <c r="B484" s="3"/>
      <c r="C484" s="3"/>
      <c r="D484" s="3"/>
      <c r="E484" s="3"/>
      <c r="F484" s="3"/>
      <c r="G484" s="3"/>
      <c r="H484" s="3"/>
      <c r="I484" s="3"/>
      <c r="J484" s="3"/>
      <c r="K484" s="3"/>
    </row>
    <row r="485" spans="1:11" hidden="1" x14ac:dyDescent="0.2">
      <c r="A485" s="3"/>
      <c r="B485" s="3"/>
      <c r="C485" s="3"/>
      <c r="D485" s="3"/>
      <c r="E485" s="3"/>
      <c r="F485" s="3"/>
      <c r="G485" s="3"/>
      <c r="H485" s="3"/>
      <c r="I485" s="3"/>
      <c r="J485" s="3"/>
      <c r="K485" s="3"/>
    </row>
    <row r="486" spans="1:11" hidden="1" x14ac:dyDescent="0.2">
      <c r="A486" s="3"/>
      <c r="B486" s="3"/>
      <c r="C486" s="3"/>
      <c r="D486" s="3"/>
      <c r="E486" s="3"/>
      <c r="F486" s="3"/>
      <c r="G486" s="3"/>
      <c r="H486" s="3"/>
      <c r="I486" s="3"/>
      <c r="J486" s="3"/>
      <c r="K486" s="3"/>
    </row>
    <row r="487" spans="1:11" hidden="1" x14ac:dyDescent="0.2">
      <c r="A487" s="3"/>
      <c r="B487" s="3"/>
      <c r="C487" s="3"/>
      <c r="D487" s="3"/>
      <c r="E487" s="3"/>
      <c r="F487" s="3"/>
      <c r="G487" s="3"/>
      <c r="H487" s="3"/>
      <c r="I487" s="3"/>
      <c r="J487" s="3"/>
      <c r="K487" s="3"/>
    </row>
    <row r="488" spans="1:11" hidden="1" x14ac:dyDescent="0.2">
      <c r="A488" s="3"/>
      <c r="B488" s="3"/>
      <c r="C488" s="3"/>
      <c r="D488" s="3"/>
      <c r="E488" s="3"/>
      <c r="F488" s="3"/>
      <c r="G488" s="3"/>
      <c r="H488" s="3"/>
      <c r="I488" s="3"/>
      <c r="J488" s="3"/>
      <c r="K488" s="3"/>
    </row>
    <row r="489" spans="1:11" hidden="1" x14ac:dyDescent="0.2">
      <c r="A489" s="3"/>
      <c r="B489" s="3"/>
      <c r="C489" s="3"/>
      <c r="D489" s="3"/>
      <c r="E489" s="3"/>
      <c r="F489" s="3"/>
      <c r="G489" s="3"/>
      <c r="H489" s="3"/>
      <c r="I489" s="3"/>
      <c r="J489" s="3"/>
      <c r="K489" s="3"/>
    </row>
    <row r="490" spans="1:11" hidden="1" x14ac:dyDescent="0.2">
      <c r="A490" s="3"/>
      <c r="B490" s="3"/>
      <c r="C490" s="3"/>
      <c r="D490" s="3"/>
      <c r="E490" s="3"/>
      <c r="F490" s="3"/>
      <c r="G490" s="3"/>
      <c r="H490" s="3"/>
      <c r="I490" s="3"/>
      <c r="J490" s="3"/>
      <c r="K490" s="3"/>
    </row>
    <row r="491" spans="1:11" hidden="1" x14ac:dyDescent="0.2">
      <c r="A491" s="3"/>
      <c r="B491" s="3"/>
      <c r="C491" s="3"/>
      <c r="D491" s="3"/>
      <c r="E491" s="3"/>
      <c r="F491" s="3"/>
      <c r="G491" s="3"/>
      <c r="H491" s="3"/>
      <c r="I491" s="3"/>
      <c r="J491" s="3"/>
      <c r="K491" s="3"/>
    </row>
    <row r="492" spans="1:11" hidden="1" x14ac:dyDescent="0.2">
      <c r="A492" s="3"/>
      <c r="B492" s="3"/>
      <c r="C492" s="3"/>
      <c r="D492" s="3"/>
      <c r="E492" s="3"/>
      <c r="F492" s="3"/>
      <c r="G492" s="3"/>
      <c r="H492" s="3"/>
      <c r="I492" s="3"/>
      <c r="J492" s="3"/>
      <c r="K492" s="3"/>
    </row>
    <row r="493" spans="1:11" hidden="1" x14ac:dyDescent="0.2">
      <c r="A493" s="3"/>
      <c r="B493" s="3"/>
      <c r="C493" s="3"/>
      <c r="D493" s="3"/>
      <c r="E493" s="3"/>
      <c r="F493" s="3"/>
      <c r="G493" s="3"/>
      <c r="H493" s="3"/>
      <c r="I493" s="3"/>
      <c r="J493" s="3"/>
      <c r="K493" s="3"/>
    </row>
    <row r="494" spans="1:11" hidden="1" x14ac:dyDescent="0.2">
      <c r="A494" s="3"/>
      <c r="B494" s="3"/>
      <c r="C494" s="3"/>
      <c r="D494" s="3"/>
      <c r="E494" s="3"/>
      <c r="F494" s="3"/>
      <c r="G494" s="3"/>
      <c r="H494" s="3"/>
      <c r="I494" s="3"/>
      <c r="J494" s="3"/>
      <c r="K494" s="3"/>
    </row>
    <row r="495" spans="1:11" hidden="1" x14ac:dyDescent="0.2">
      <c r="A495" s="3"/>
      <c r="B495" s="3"/>
      <c r="C495" s="3"/>
      <c r="D495" s="3"/>
      <c r="E495" s="3"/>
      <c r="F495" s="3"/>
      <c r="G495" s="3"/>
      <c r="H495" s="3"/>
      <c r="I495" s="3"/>
      <c r="J495" s="3"/>
      <c r="K495" s="3"/>
    </row>
    <row r="496" spans="1:11" hidden="1" x14ac:dyDescent="0.2">
      <c r="A496" s="3"/>
      <c r="B496" s="3"/>
      <c r="C496" s="3"/>
      <c r="D496" s="3"/>
      <c r="E496" s="3"/>
      <c r="F496" s="3"/>
      <c r="G496" s="3"/>
      <c r="H496" s="3"/>
      <c r="I496" s="3"/>
      <c r="J496" s="3"/>
      <c r="K496" s="3"/>
    </row>
    <row r="497" spans="1:11" hidden="1" x14ac:dyDescent="0.2">
      <c r="A497" s="3"/>
      <c r="B497" s="3"/>
      <c r="C497" s="3"/>
      <c r="D497" s="3"/>
      <c r="E497" s="3"/>
      <c r="F497" s="3"/>
      <c r="G497" s="3"/>
      <c r="H497" s="3"/>
      <c r="I497" s="3"/>
      <c r="J497" s="3"/>
      <c r="K497" s="3"/>
    </row>
    <row r="498" spans="1:11" hidden="1" x14ac:dyDescent="0.2">
      <c r="A498" s="3"/>
      <c r="B498" s="3"/>
      <c r="C498" s="3"/>
      <c r="D498" s="3"/>
      <c r="E498" s="3"/>
      <c r="F498" s="3"/>
      <c r="G498" s="3"/>
      <c r="H498" s="3"/>
      <c r="I498" s="3"/>
      <c r="J498" s="3"/>
      <c r="K498" s="3"/>
    </row>
    <row r="499" spans="1:11" hidden="1" x14ac:dyDescent="0.2">
      <c r="A499" s="3"/>
      <c r="B499" s="3"/>
      <c r="C499" s="3"/>
      <c r="D499" s="3"/>
      <c r="E499" s="3"/>
      <c r="F499" s="3"/>
      <c r="G499" s="3"/>
      <c r="H499" s="3"/>
      <c r="I499" s="3"/>
      <c r="J499" s="3"/>
      <c r="K499" s="3"/>
    </row>
    <row r="500" spans="1:11" hidden="1" x14ac:dyDescent="0.2">
      <c r="A500" s="3"/>
      <c r="B500" s="3"/>
      <c r="C500" s="3"/>
      <c r="D500" s="3"/>
      <c r="E500" s="3"/>
      <c r="F500" s="3"/>
      <c r="G500" s="3"/>
      <c r="H500" s="3"/>
      <c r="I500" s="3"/>
      <c r="J500" s="3"/>
      <c r="K500" s="3"/>
    </row>
    <row r="501" spans="1:11" hidden="1" x14ac:dyDescent="0.2">
      <c r="A501" s="3"/>
      <c r="B501" s="3"/>
      <c r="C501" s="3"/>
      <c r="D501" s="3"/>
      <c r="E501" s="3"/>
      <c r="F501" s="3"/>
      <c r="G501" s="3"/>
      <c r="H501" s="3"/>
      <c r="I501" s="3"/>
      <c r="J501" s="3"/>
      <c r="K501" s="3"/>
    </row>
    <row r="502" spans="1:11" hidden="1" x14ac:dyDescent="0.2">
      <c r="A502" s="3"/>
      <c r="B502" s="3"/>
      <c r="C502" s="3"/>
      <c r="D502" s="3"/>
      <c r="E502" s="3"/>
      <c r="F502" s="3"/>
      <c r="G502" s="3"/>
      <c r="H502" s="3"/>
      <c r="I502" s="3"/>
      <c r="J502" s="3"/>
      <c r="K502" s="3"/>
    </row>
    <row r="503" spans="1:11" hidden="1" x14ac:dyDescent="0.2">
      <c r="A503" s="3"/>
      <c r="B503" s="3"/>
      <c r="C503" s="3"/>
      <c r="D503" s="3"/>
      <c r="E503" s="3"/>
      <c r="F503" s="3"/>
      <c r="G503" s="3"/>
      <c r="H503" s="3"/>
      <c r="I503" s="3"/>
      <c r="J503" s="3"/>
      <c r="K503" s="3"/>
    </row>
    <row r="504" spans="1:11" hidden="1" x14ac:dyDescent="0.2">
      <c r="A504" s="3"/>
      <c r="B504" s="3"/>
      <c r="C504" s="3"/>
      <c r="D504" s="3"/>
      <c r="E504" s="3"/>
      <c r="F504" s="3"/>
      <c r="G504" s="3"/>
      <c r="H504" s="3"/>
      <c r="I504" s="3"/>
      <c r="J504" s="3"/>
      <c r="K504" s="3"/>
    </row>
    <row r="505" spans="1:11" hidden="1" x14ac:dyDescent="0.2">
      <c r="A505" s="3"/>
      <c r="B505" s="3"/>
      <c r="C505" s="3"/>
      <c r="D505" s="3"/>
      <c r="E505" s="3"/>
      <c r="F505" s="3"/>
      <c r="G505" s="3"/>
      <c r="H505" s="3"/>
      <c r="I505" s="3"/>
      <c r="J505" s="3"/>
      <c r="K505" s="3"/>
    </row>
    <row r="506" spans="1:11" hidden="1" x14ac:dyDescent="0.2">
      <c r="A506" s="3"/>
      <c r="B506" s="3"/>
      <c r="C506" s="3"/>
      <c r="D506" s="3"/>
      <c r="E506" s="3"/>
      <c r="F506" s="3"/>
      <c r="G506" s="3"/>
      <c r="H506" s="3"/>
      <c r="I506" s="3"/>
      <c r="J506" s="3"/>
      <c r="K506" s="3"/>
    </row>
    <row r="507" spans="1:11" hidden="1" x14ac:dyDescent="0.2">
      <c r="A507" s="3"/>
      <c r="B507" s="3"/>
      <c r="C507" s="3"/>
      <c r="D507" s="3"/>
      <c r="E507" s="3"/>
      <c r="F507" s="3"/>
      <c r="G507" s="3"/>
      <c r="H507" s="3"/>
      <c r="I507" s="3"/>
      <c r="J507" s="3"/>
      <c r="K507" s="3"/>
    </row>
    <row r="508" spans="1:11" hidden="1" x14ac:dyDescent="0.2">
      <c r="A508" s="3"/>
      <c r="B508" s="3"/>
      <c r="C508" s="3"/>
      <c r="D508" s="3"/>
      <c r="E508" s="3"/>
      <c r="F508" s="3"/>
      <c r="G508" s="3"/>
      <c r="H508" s="3"/>
      <c r="I508" s="3"/>
      <c r="J508" s="3"/>
      <c r="K508" s="3"/>
    </row>
    <row r="509" spans="1:11" hidden="1" x14ac:dyDescent="0.2">
      <c r="A509" s="3"/>
      <c r="B509" s="3"/>
      <c r="C509" s="3"/>
      <c r="D509" s="3"/>
      <c r="E509" s="3"/>
      <c r="F509" s="3"/>
      <c r="G509" s="3"/>
      <c r="H509" s="3"/>
      <c r="I509" s="3"/>
      <c r="J509" s="3"/>
      <c r="K509" s="3"/>
    </row>
    <row r="510" spans="1:11" hidden="1" x14ac:dyDescent="0.2">
      <c r="A510" s="3"/>
      <c r="B510" s="3"/>
      <c r="C510" s="3"/>
      <c r="D510" s="3"/>
      <c r="E510" s="3"/>
      <c r="F510" s="3"/>
      <c r="G510" s="3"/>
      <c r="H510" s="3"/>
      <c r="I510" s="3"/>
      <c r="J510" s="3"/>
      <c r="K510" s="3"/>
    </row>
    <row r="511" spans="1:11" hidden="1" x14ac:dyDescent="0.2">
      <c r="A511" s="3"/>
      <c r="B511" s="3"/>
      <c r="C511" s="3"/>
      <c r="D511" s="3"/>
      <c r="E511" s="3"/>
      <c r="F511" s="3"/>
      <c r="G511" s="3"/>
      <c r="H511" s="3"/>
      <c r="I511" s="3"/>
      <c r="J511" s="3"/>
      <c r="K511" s="3"/>
    </row>
    <row r="512" spans="1:11" hidden="1" x14ac:dyDescent="0.2">
      <c r="A512" s="3"/>
      <c r="B512" s="3"/>
      <c r="C512" s="3"/>
      <c r="D512" s="3"/>
      <c r="E512" s="3"/>
      <c r="F512" s="3"/>
      <c r="G512" s="3"/>
      <c r="H512" s="3"/>
      <c r="I512" s="3"/>
      <c r="J512" s="3"/>
      <c r="K512" s="3"/>
    </row>
    <row r="513" spans="1:11" hidden="1" x14ac:dyDescent="0.2">
      <c r="A513" s="3"/>
      <c r="B513" s="3"/>
      <c r="C513" s="3"/>
      <c r="D513" s="3"/>
      <c r="E513" s="3"/>
      <c r="F513" s="3"/>
      <c r="G513" s="3"/>
      <c r="H513" s="3"/>
      <c r="I513" s="3"/>
      <c r="J513" s="3"/>
      <c r="K513" s="3"/>
    </row>
    <row r="514" spans="1:11" hidden="1" x14ac:dyDescent="0.2">
      <c r="A514" s="3"/>
      <c r="B514" s="3"/>
      <c r="C514" s="3"/>
      <c r="D514" s="3"/>
      <c r="E514" s="3"/>
      <c r="F514" s="3"/>
      <c r="G514" s="3"/>
      <c r="H514" s="3"/>
      <c r="I514" s="3"/>
      <c r="J514" s="3"/>
      <c r="K514" s="3"/>
    </row>
    <row r="515" spans="1:11" hidden="1" x14ac:dyDescent="0.2">
      <c r="A515" s="3"/>
      <c r="B515" s="3"/>
      <c r="C515" s="3"/>
      <c r="D515" s="3"/>
      <c r="E515" s="3"/>
      <c r="F515" s="3"/>
      <c r="G515" s="3"/>
      <c r="H515" s="3"/>
      <c r="I515" s="3"/>
      <c r="J515" s="3"/>
      <c r="K515" s="3"/>
    </row>
    <row r="516" spans="1:11" hidden="1" x14ac:dyDescent="0.2">
      <c r="A516" s="3"/>
      <c r="B516" s="3"/>
      <c r="C516" s="3"/>
      <c r="D516" s="3"/>
      <c r="E516" s="3"/>
      <c r="F516" s="3"/>
      <c r="G516" s="3"/>
      <c r="H516" s="3"/>
      <c r="I516" s="3"/>
      <c r="J516" s="3"/>
      <c r="K516" s="3"/>
    </row>
    <row r="517" spans="1:11" hidden="1" x14ac:dyDescent="0.2">
      <c r="A517" s="3"/>
      <c r="B517" s="3"/>
      <c r="C517" s="3"/>
      <c r="D517" s="3"/>
      <c r="E517" s="3"/>
      <c r="F517" s="3"/>
      <c r="G517" s="3"/>
      <c r="H517" s="3"/>
      <c r="I517" s="3"/>
      <c r="J517" s="3"/>
      <c r="K517" s="3"/>
    </row>
    <row r="518" spans="1:11" hidden="1" x14ac:dyDescent="0.2">
      <c r="A518" s="3"/>
      <c r="B518" s="3"/>
      <c r="C518" s="3"/>
      <c r="D518" s="3"/>
      <c r="E518" s="3"/>
      <c r="F518" s="3"/>
      <c r="G518" s="3"/>
      <c r="H518" s="3"/>
      <c r="I518" s="3"/>
      <c r="J518" s="3"/>
      <c r="K518" s="3"/>
    </row>
    <row r="519" spans="1:11" hidden="1" x14ac:dyDescent="0.2">
      <c r="A519" s="3"/>
      <c r="B519" s="3"/>
      <c r="C519" s="3"/>
      <c r="D519" s="3"/>
      <c r="E519" s="3"/>
      <c r="F519" s="3"/>
      <c r="G519" s="3"/>
      <c r="H519" s="3"/>
      <c r="I519" s="3"/>
      <c r="J519" s="3"/>
      <c r="K519" s="3"/>
    </row>
    <row r="520" spans="1:11" hidden="1" x14ac:dyDescent="0.2">
      <c r="A520" s="3"/>
      <c r="B520" s="3"/>
      <c r="C520" s="3"/>
      <c r="D520" s="3"/>
      <c r="E520" s="3"/>
      <c r="F520" s="3"/>
      <c r="G520" s="3"/>
      <c r="H520" s="3"/>
      <c r="I520" s="3"/>
      <c r="J520" s="3"/>
      <c r="K520" s="3"/>
    </row>
    <row r="521" spans="1:11" hidden="1" x14ac:dyDescent="0.2">
      <c r="A521" s="3"/>
      <c r="B521" s="3"/>
      <c r="C521" s="3"/>
      <c r="D521" s="3"/>
      <c r="E521" s="3"/>
      <c r="F521" s="3"/>
      <c r="G521" s="3"/>
      <c r="H521" s="3"/>
      <c r="I521" s="3"/>
      <c r="J521" s="3"/>
      <c r="K521" s="3"/>
    </row>
    <row r="522" spans="1:11" hidden="1" x14ac:dyDescent="0.2">
      <c r="A522" s="3"/>
      <c r="B522" s="3"/>
      <c r="C522" s="3"/>
      <c r="D522" s="3"/>
      <c r="E522" s="3"/>
      <c r="F522" s="3"/>
      <c r="G522" s="3"/>
      <c r="H522" s="3"/>
      <c r="I522" s="3"/>
      <c r="J522" s="3"/>
      <c r="K522" s="3"/>
    </row>
    <row r="523" spans="1:11" hidden="1" x14ac:dyDescent="0.2">
      <c r="A523" s="3"/>
      <c r="B523" s="3"/>
      <c r="C523" s="3"/>
      <c r="D523" s="3"/>
      <c r="E523" s="3"/>
      <c r="F523" s="3"/>
      <c r="G523" s="3"/>
      <c r="H523" s="3"/>
      <c r="I523" s="3"/>
      <c r="J523" s="3"/>
      <c r="K523" s="3"/>
    </row>
    <row r="524" spans="1:11" hidden="1" x14ac:dyDescent="0.2">
      <c r="A524" s="3"/>
      <c r="B524" s="3"/>
      <c r="C524" s="3"/>
      <c r="D524" s="3"/>
      <c r="E524" s="3"/>
      <c r="F524" s="3"/>
      <c r="G524" s="3"/>
      <c r="H524" s="3"/>
      <c r="I524" s="3"/>
      <c r="J524" s="3"/>
      <c r="K524" s="3"/>
    </row>
    <row r="525" spans="1:11" hidden="1" x14ac:dyDescent="0.2">
      <c r="A525" s="3"/>
      <c r="B525" s="3"/>
      <c r="C525" s="3"/>
      <c r="D525" s="3"/>
      <c r="E525" s="3"/>
      <c r="F525" s="3"/>
      <c r="G525" s="3"/>
      <c r="H525" s="3"/>
      <c r="I525" s="3"/>
      <c r="J525" s="3"/>
      <c r="K525" s="3"/>
    </row>
    <row r="526" spans="1:11" hidden="1" x14ac:dyDescent="0.2">
      <c r="A526" s="3"/>
      <c r="B526" s="3"/>
      <c r="C526" s="3"/>
      <c r="D526" s="3"/>
      <c r="E526" s="3"/>
      <c r="F526" s="3"/>
      <c r="G526" s="3"/>
      <c r="H526" s="3"/>
      <c r="I526" s="3"/>
      <c r="J526" s="3"/>
      <c r="K526" s="3"/>
    </row>
    <row r="527" spans="1:11" hidden="1" x14ac:dyDescent="0.2">
      <c r="A527" s="3"/>
      <c r="B527" s="3"/>
      <c r="C527" s="3"/>
      <c r="D527" s="3"/>
      <c r="E527" s="3"/>
      <c r="F527" s="3"/>
      <c r="G527" s="3"/>
      <c r="H527" s="3"/>
      <c r="I527" s="3"/>
      <c r="J527" s="3"/>
      <c r="K527" s="3"/>
    </row>
    <row r="528" spans="1:11" hidden="1" x14ac:dyDescent="0.2">
      <c r="A528" s="3"/>
      <c r="B528" s="3"/>
      <c r="C528" s="3"/>
      <c r="D528" s="3"/>
      <c r="E528" s="3"/>
      <c r="F528" s="3"/>
      <c r="G528" s="3"/>
      <c r="H528" s="3"/>
      <c r="I528" s="3"/>
      <c r="J528" s="3"/>
      <c r="K528" s="3"/>
    </row>
    <row r="529" spans="1:11" hidden="1" x14ac:dyDescent="0.2">
      <c r="A529" s="3"/>
      <c r="B529" s="3"/>
      <c r="C529" s="3"/>
      <c r="D529" s="3"/>
      <c r="E529" s="3"/>
      <c r="F529" s="3"/>
      <c r="G529" s="3"/>
      <c r="H529" s="3"/>
      <c r="I529" s="3"/>
      <c r="J529" s="3"/>
      <c r="K529" s="3"/>
    </row>
    <row r="530" spans="1:11" hidden="1" x14ac:dyDescent="0.2">
      <c r="A530" s="3"/>
      <c r="B530" s="3"/>
      <c r="C530" s="3"/>
      <c r="D530" s="3"/>
      <c r="E530" s="3"/>
      <c r="F530" s="3"/>
      <c r="G530" s="3"/>
      <c r="H530" s="3"/>
      <c r="I530" s="3"/>
      <c r="J530" s="3"/>
      <c r="K530" s="3"/>
    </row>
    <row r="531" spans="1:11" hidden="1" x14ac:dyDescent="0.2">
      <c r="A531" s="3"/>
      <c r="B531" s="3"/>
      <c r="C531" s="3"/>
      <c r="D531" s="3"/>
      <c r="E531" s="3"/>
      <c r="F531" s="3"/>
      <c r="G531" s="3"/>
      <c r="H531" s="3"/>
      <c r="I531" s="3"/>
      <c r="J531" s="3"/>
      <c r="K531" s="3"/>
    </row>
    <row r="532" spans="1:11" hidden="1" x14ac:dyDescent="0.2">
      <c r="A532" s="3"/>
      <c r="B532" s="3"/>
      <c r="C532" s="3"/>
      <c r="D532" s="3"/>
      <c r="E532" s="3"/>
      <c r="F532" s="3"/>
      <c r="G532" s="3"/>
      <c r="H532" s="3"/>
      <c r="I532" s="3"/>
      <c r="J532" s="3"/>
      <c r="K532" s="3"/>
    </row>
    <row r="533" spans="1:11" hidden="1" x14ac:dyDescent="0.2">
      <c r="A533" s="3"/>
      <c r="B533" s="3"/>
      <c r="C533" s="3"/>
      <c r="D533" s="3"/>
      <c r="E533" s="3"/>
      <c r="F533" s="3"/>
      <c r="G533" s="3"/>
      <c r="H533" s="3"/>
      <c r="I533" s="3"/>
      <c r="J533" s="3"/>
      <c r="K533" s="3"/>
    </row>
    <row r="534" spans="1:11" hidden="1" x14ac:dyDescent="0.2">
      <c r="A534" s="3"/>
      <c r="B534" s="3"/>
      <c r="C534" s="3"/>
      <c r="D534" s="3"/>
      <c r="E534" s="3"/>
      <c r="F534" s="3"/>
      <c r="G534" s="3"/>
      <c r="H534" s="3"/>
      <c r="I534" s="3"/>
      <c r="J534" s="3"/>
      <c r="K534" s="3"/>
    </row>
    <row r="535" spans="1:11" hidden="1" x14ac:dyDescent="0.2">
      <c r="A535" s="3"/>
      <c r="B535" s="3"/>
      <c r="C535" s="3"/>
      <c r="D535" s="3"/>
      <c r="E535" s="3"/>
      <c r="F535" s="3"/>
      <c r="G535" s="3"/>
      <c r="H535" s="3"/>
      <c r="I535" s="3"/>
      <c r="J535" s="3"/>
      <c r="K535" s="3"/>
    </row>
    <row r="536" spans="1:11" hidden="1" x14ac:dyDescent="0.2">
      <c r="A536" s="3"/>
      <c r="B536" s="3"/>
      <c r="C536" s="3"/>
      <c r="D536" s="3"/>
      <c r="E536" s="3"/>
      <c r="F536" s="3"/>
      <c r="G536" s="3"/>
      <c r="H536" s="3"/>
      <c r="I536" s="3"/>
      <c r="J536" s="3"/>
      <c r="K536" s="3"/>
    </row>
    <row r="537" spans="1:11" hidden="1" x14ac:dyDescent="0.2">
      <c r="A537" s="3"/>
      <c r="B537" s="3"/>
      <c r="C537" s="3"/>
      <c r="D537" s="3"/>
      <c r="E537" s="3"/>
      <c r="F537" s="3"/>
      <c r="G537" s="3"/>
      <c r="H537" s="3"/>
      <c r="I537" s="3"/>
      <c r="J537" s="3"/>
      <c r="K537" s="3"/>
    </row>
    <row r="538" spans="1:11" hidden="1" x14ac:dyDescent="0.2">
      <c r="A538" s="3"/>
      <c r="B538" s="3"/>
      <c r="C538" s="3"/>
      <c r="D538" s="3"/>
      <c r="E538" s="3"/>
      <c r="F538" s="3"/>
      <c r="G538" s="3"/>
      <c r="H538" s="3"/>
      <c r="I538" s="3"/>
      <c r="J538" s="3"/>
      <c r="K538" s="3"/>
    </row>
    <row r="539" spans="1:11" hidden="1" x14ac:dyDescent="0.2">
      <c r="A539" s="3"/>
      <c r="B539" s="3"/>
      <c r="C539" s="3"/>
      <c r="D539" s="3"/>
      <c r="E539" s="3"/>
      <c r="F539" s="3"/>
      <c r="G539" s="3"/>
      <c r="H539" s="3"/>
      <c r="I539" s="3"/>
      <c r="J539" s="3"/>
      <c r="K539" s="3"/>
    </row>
    <row r="540" spans="1:11" hidden="1" x14ac:dyDescent="0.2">
      <c r="A540" s="3"/>
      <c r="B540" s="3"/>
      <c r="C540" s="3"/>
      <c r="D540" s="3"/>
      <c r="E540" s="3"/>
      <c r="F540" s="3"/>
      <c r="G540" s="3"/>
      <c r="H540" s="3"/>
      <c r="I540" s="3"/>
      <c r="J540" s="3"/>
      <c r="K540" s="3"/>
    </row>
    <row r="541" spans="1:11" hidden="1" x14ac:dyDescent="0.2">
      <c r="A541" s="3"/>
      <c r="B541" s="3"/>
      <c r="C541" s="3"/>
      <c r="D541" s="3"/>
      <c r="E541" s="3"/>
      <c r="F541" s="3"/>
      <c r="G541" s="3"/>
      <c r="H541" s="3"/>
      <c r="I541" s="3"/>
      <c r="J541" s="3"/>
      <c r="K541" s="3"/>
    </row>
    <row r="542" spans="1:11" hidden="1" x14ac:dyDescent="0.2">
      <c r="A542" s="3"/>
      <c r="B542" s="3"/>
      <c r="C542" s="3"/>
      <c r="D542" s="3"/>
      <c r="E542" s="3"/>
      <c r="F542" s="3"/>
      <c r="G542" s="3"/>
      <c r="H542" s="3"/>
      <c r="I542" s="3"/>
      <c r="J542" s="3"/>
      <c r="K542" s="3"/>
    </row>
    <row r="543" spans="1:11" hidden="1" x14ac:dyDescent="0.2">
      <c r="A543" s="3"/>
      <c r="B543" s="3"/>
      <c r="C543" s="3"/>
      <c r="D543" s="3"/>
      <c r="E543" s="3"/>
      <c r="F543" s="3"/>
      <c r="G543" s="3"/>
      <c r="H543" s="3"/>
      <c r="I543" s="3"/>
      <c r="J543" s="3"/>
      <c r="K543" s="3"/>
    </row>
    <row r="544" spans="1:11" hidden="1" x14ac:dyDescent="0.2">
      <c r="A544" s="3"/>
      <c r="B544" s="3"/>
      <c r="C544" s="3"/>
      <c r="D544" s="3"/>
      <c r="E544" s="3"/>
      <c r="F544" s="3"/>
      <c r="G544" s="3"/>
      <c r="H544" s="3"/>
      <c r="I544" s="3"/>
      <c r="J544" s="3"/>
      <c r="K544" s="3"/>
    </row>
    <row r="545" spans="1:11" hidden="1" x14ac:dyDescent="0.2">
      <c r="A545" s="3"/>
      <c r="B545" s="3"/>
      <c r="C545" s="3"/>
      <c r="D545" s="3"/>
      <c r="E545" s="3"/>
      <c r="F545" s="3"/>
      <c r="G545" s="3"/>
      <c r="H545" s="3"/>
      <c r="I545" s="3"/>
      <c r="J545" s="3"/>
      <c r="K545" s="3"/>
    </row>
    <row r="546" spans="1:11" hidden="1" x14ac:dyDescent="0.2">
      <c r="A546" s="3"/>
      <c r="B546" s="3"/>
      <c r="C546" s="3"/>
      <c r="D546" s="3"/>
      <c r="E546" s="3"/>
      <c r="F546" s="3"/>
      <c r="G546" s="3"/>
      <c r="H546" s="3"/>
      <c r="I546" s="3"/>
      <c r="J546" s="3"/>
      <c r="K546" s="3"/>
    </row>
    <row r="547" spans="1:11" hidden="1" x14ac:dyDescent="0.2">
      <c r="A547" s="3"/>
      <c r="B547" s="3"/>
      <c r="C547" s="3"/>
      <c r="D547" s="3"/>
      <c r="E547" s="3"/>
      <c r="F547" s="3"/>
      <c r="G547" s="3"/>
      <c r="H547" s="3"/>
      <c r="I547" s="3"/>
      <c r="J547" s="3"/>
      <c r="K547" s="3"/>
    </row>
    <row r="548" spans="1:11" hidden="1" x14ac:dyDescent="0.2">
      <c r="A548" s="3"/>
      <c r="B548" s="3"/>
      <c r="C548" s="3"/>
      <c r="D548" s="3"/>
      <c r="E548" s="3"/>
      <c r="F548" s="3"/>
      <c r="G548" s="3"/>
      <c r="H548" s="3"/>
      <c r="I548" s="3"/>
      <c r="J548" s="3"/>
      <c r="K548" s="3"/>
    </row>
    <row r="549" spans="1:11" hidden="1" x14ac:dyDescent="0.2">
      <c r="A549" s="3"/>
      <c r="B549" s="3"/>
      <c r="C549" s="3"/>
      <c r="D549" s="3"/>
      <c r="E549" s="3"/>
      <c r="F549" s="3"/>
      <c r="G549" s="3"/>
      <c r="H549" s="3"/>
      <c r="I549" s="3"/>
      <c r="J549" s="3"/>
      <c r="K549" s="3"/>
    </row>
    <row r="550" spans="1:11" hidden="1" x14ac:dyDescent="0.2">
      <c r="A550" s="3"/>
      <c r="B550" s="3"/>
      <c r="C550" s="3"/>
      <c r="D550" s="3"/>
      <c r="E550" s="3"/>
      <c r="F550" s="3"/>
      <c r="G550" s="3"/>
      <c r="H550" s="3"/>
      <c r="I550" s="3"/>
      <c r="J550" s="3"/>
      <c r="K550" s="3"/>
    </row>
    <row r="551" spans="1:11" hidden="1" x14ac:dyDescent="0.2">
      <c r="A551" s="3"/>
      <c r="B551" s="3"/>
      <c r="C551" s="3"/>
      <c r="D551" s="3"/>
      <c r="E551" s="3"/>
      <c r="F551" s="3"/>
      <c r="G551" s="3"/>
      <c r="H551" s="3"/>
      <c r="I551" s="3"/>
      <c r="J551" s="3"/>
      <c r="K551" s="3"/>
    </row>
    <row r="552" spans="1:11" hidden="1" x14ac:dyDescent="0.2">
      <c r="A552" s="3"/>
      <c r="B552" s="3"/>
      <c r="C552" s="3"/>
      <c r="D552" s="3"/>
      <c r="E552" s="3"/>
      <c r="F552" s="3"/>
      <c r="G552" s="3"/>
      <c r="H552" s="3"/>
      <c r="I552" s="3"/>
      <c r="J552" s="3"/>
      <c r="K552" s="3"/>
    </row>
    <row r="553" spans="1:11" hidden="1" x14ac:dyDescent="0.2">
      <c r="A553" s="3"/>
      <c r="B553" s="3"/>
      <c r="C553" s="3"/>
      <c r="D553" s="3"/>
      <c r="E553" s="3"/>
      <c r="F553" s="3"/>
      <c r="G553" s="3"/>
      <c r="H553" s="3"/>
      <c r="I553" s="3"/>
      <c r="J553" s="3"/>
      <c r="K553" s="3"/>
    </row>
    <row r="554" spans="1:11" hidden="1" x14ac:dyDescent="0.2">
      <c r="A554" s="3"/>
      <c r="B554" s="3"/>
      <c r="C554" s="3"/>
      <c r="D554" s="3"/>
      <c r="E554" s="3"/>
      <c r="F554" s="3"/>
      <c r="G554" s="3"/>
      <c r="H554" s="3"/>
      <c r="I554" s="3"/>
      <c r="J554" s="3"/>
      <c r="K554" s="3"/>
    </row>
    <row r="555" spans="1:11" hidden="1" x14ac:dyDescent="0.2">
      <c r="A555" s="3"/>
      <c r="B555" s="3"/>
      <c r="C555" s="3"/>
      <c r="D555" s="3"/>
      <c r="E555" s="3"/>
      <c r="F555" s="3"/>
      <c r="G555" s="3"/>
      <c r="H555" s="3"/>
      <c r="I555" s="3"/>
      <c r="J555" s="3"/>
      <c r="K555" s="3"/>
    </row>
    <row r="556" spans="1:11" hidden="1" x14ac:dyDescent="0.2">
      <c r="A556" s="3"/>
      <c r="B556" s="3"/>
      <c r="C556" s="3"/>
      <c r="D556" s="3"/>
      <c r="E556" s="3"/>
      <c r="F556" s="3"/>
      <c r="G556" s="3"/>
      <c r="H556" s="3"/>
      <c r="I556" s="3"/>
      <c r="J556" s="3"/>
      <c r="K556" s="3"/>
    </row>
    <row r="557" spans="1:11" hidden="1" x14ac:dyDescent="0.2">
      <c r="A557" s="3"/>
      <c r="B557" s="3"/>
      <c r="C557" s="3"/>
      <c r="D557" s="3"/>
      <c r="E557" s="3"/>
      <c r="F557" s="3"/>
      <c r="G557" s="3"/>
      <c r="H557" s="3"/>
      <c r="I557" s="3"/>
      <c r="J557" s="3"/>
      <c r="K557" s="3"/>
    </row>
    <row r="558" spans="1:11" hidden="1" x14ac:dyDescent="0.2">
      <c r="A558" s="3"/>
      <c r="B558" s="3"/>
      <c r="C558" s="3"/>
      <c r="D558" s="3"/>
      <c r="E558" s="3"/>
      <c r="F558" s="3"/>
      <c r="G558" s="3"/>
      <c r="H558" s="3"/>
      <c r="I558" s="3"/>
      <c r="J558" s="3"/>
      <c r="K558" s="3"/>
    </row>
    <row r="559" spans="1:11" hidden="1" x14ac:dyDescent="0.2">
      <c r="A559" s="3"/>
      <c r="B559" s="3"/>
      <c r="C559" s="3"/>
      <c r="D559" s="3"/>
      <c r="E559" s="3"/>
      <c r="F559" s="3"/>
      <c r="G559" s="3"/>
      <c r="H559" s="3"/>
      <c r="I559" s="3"/>
      <c r="J559" s="3"/>
      <c r="K559" s="3"/>
    </row>
    <row r="560" spans="1:11" hidden="1" x14ac:dyDescent="0.2">
      <c r="A560" s="3"/>
      <c r="B560" s="3"/>
      <c r="C560" s="3"/>
      <c r="D560" s="3"/>
      <c r="E560" s="3"/>
      <c r="F560" s="3"/>
      <c r="G560" s="3"/>
      <c r="H560" s="3"/>
      <c r="I560" s="3"/>
      <c r="J560" s="3"/>
      <c r="K560" s="3"/>
    </row>
    <row r="561" spans="1:11" hidden="1" x14ac:dyDescent="0.2">
      <c r="A561" s="3"/>
      <c r="B561" s="3"/>
      <c r="C561" s="3"/>
      <c r="D561" s="3"/>
      <c r="E561" s="3"/>
      <c r="F561" s="3"/>
      <c r="G561" s="3"/>
      <c r="H561" s="3"/>
      <c r="I561" s="3"/>
      <c r="J561" s="3"/>
      <c r="K561" s="3"/>
    </row>
    <row r="562" spans="1:11" hidden="1" x14ac:dyDescent="0.2">
      <c r="A562" s="3"/>
      <c r="B562" s="3"/>
      <c r="C562" s="3"/>
      <c r="D562" s="3"/>
      <c r="E562" s="3"/>
      <c r="F562" s="3"/>
      <c r="G562" s="3"/>
      <c r="H562" s="3"/>
      <c r="I562" s="3"/>
      <c r="J562" s="3"/>
      <c r="K562" s="3"/>
    </row>
    <row r="563" spans="1:11" hidden="1" x14ac:dyDescent="0.2">
      <c r="A563" s="3"/>
      <c r="B563" s="3"/>
      <c r="C563" s="3"/>
      <c r="D563" s="3"/>
      <c r="E563" s="3"/>
      <c r="F563" s="3"/>
      <c r="G563" s="3"/>
      <c r="H563" s="3"/>
      <c r="I563" s="3"/>
      <c r="J563" s="3"/>
      <c r="K563" s="3"/>
    </row>
    <row r="564" spans="1:11" hidden="1" x14ac:dyDescent="0.2">
      <c r="A564" s="3"/>
      <c r="B564" s="3"/>
      <c r="C564" s="3"/>
      <c r="D564" s="3"/>
      <c r="E564" s="3"/>
      <c r="F564" s="3"/>
      <c r="G564" s="3"/>
      <c r="H564" s="3"/>
      <c r="I564" s="3"/>
      <c r="J564" s="3"/>
      <c r="K564" s="3"/>
    </row>
    <row r="565" spans="1:11" hidden="1" x14ac:dyDescent="0.2">
      <c r="A565" s="3"/>
      <c r="B565" s="3"/>
      <c r="C565" s="3"/>
      <c r="D565" s="3"/>
      <c r="E565" s="3"/>
      <c r="F565" s="3"/>
      <c r="G565" s="3"/>
      <c r="H565" s="3"/>
      <c r="I565" s="3"/>
      <c r="J565" s="3"/>
      <c r="K565" s="3"/>
    </row>
    <row r="566" spans="1:11" hidden="1" x14ac:dyDescent="0.2">
      <c r="A566" s="3"/>
      <c r="B566" s="3"/>
      <c r="C566" s="3"/>
      <c r="D566" s="3"/>
      <c r="E566" s="3"/>
      <c r="F566" s="3"/>
      <c r="G566" s="3"/>
      <c r="H566" s="3"/>
      <c r="I566" s="3"/>
      <c r="J566" s="3"/>
      <c r="K566" s="3"/>
    </row>
    <row r="567" spans="1:11" hidden="1" x14ac:dyDescent="0.2">
      <c r="A567" s="3"/>
      <c r="B567" s="3"/>
      <c r="C567" s="3"/>
      <c r="D567" s="3"/>
      <c r="E567" s="3"/>
      <c r="F567" s="3"/>
      <c r="G567" s="3"/>
      <c r="H567" s="3"/>
      <c r="I567" s="3"/>
      <c r="J567" s="3"/>
      <c r="K567" s="3"/>
    </row>
    <row r="568" spans="1:11" hidden="1" x14ac:dyDescent="0.2">
      <c r="A568" s="3"/>
      <c r="B568" s="3"/>
      <c r="C568" s="3"/>
      <c r="D568" s="3"/>
      <c r="E568" s="3"/>
      <c r="F568" s="3"/>
      <c r="G568" s="3"/>
      <c r="H568" s="3"/>
      <c r="I568" s="3"/>
      <c r="J568" s="3"/>
      <c r="K568" s="3"/>
    </row>
    <row r="569" spans="1:11" hidden="1" x14ac:dyDescent="0.2">
      <c r="A569" s="3"/>
      <c r="B569" s="3"/>
      <c r="C569" s="3"/>
      <c r="D569" s="3"/>
      <c r="E569" s="3"/>
      <c r="F569" s="3"/>
      <c r="G569" s="3"/>
      <c r="H569" s="3"/>
      <c r="I569" s="3"/>
      <c r="J569" s="3"/>
      <c r="K569" s="3"/>
    </row>
    <row r="570" spans="1:11" hidden="1" x14ac:dyDescent="0.2">
      <c r="A570" s="3"/>
      <c r="B570" s="3"/>
      <c r="C570" s="3"/>
      <c r="D570" s="3"/>
      <c r="E570" s="3"/>
      <c r="F570" s="3"/>
      <c r="G570" s="3"/>
      <c r="H570" s="3"/>
      <c r="I570" s="3"/>
      <c r="J570" s="3"/>
      <c r="K570" s="3"/>
    </row>
    <row r="571" spans="1:11" hidden="1" x14ac:dyDescent="0.2">
      <c r="A571" s="3"/>
      <c r="B571" s="3"/>
      <c r="C571" s="3"/>
      <c r="D571" s="3"/>
      <c r="E571" s="3"/>
      <c r="F571" s="3"/>
      <c r="G571" s="3"/>
      <c r="H571" s="3"/>
      <c r="I571" s="3"/>
      <c r="J571" s="3"/>
      <c r="K571" s="3"/>
    </row>
    <row r="572" spans="1:11" hidden="1" x14ac:dyDescent="0.2">
      <c r="A572" s="3"/>
      <c r="B572" s="3"/>
      <c r="C572" s="3"/>
      <c r="D572" s="3"/>
      <c r="E572" s="3"/>
      <c r="F572" s="3"/>
      <c r="G572" s="3"/>
      <c r="H572" s="3"/>
      <c r="I572" s="3"/>
      <c r="J572" s="3"/>
      <c r="K572" s="3"/>
    </row>
    <row r="573" spans="1:11" hidden="1" x14ac:dyDescent="0.2">
      <c r="A573" s="3"/>
      <c r="B573" s="3"/>
      <c r="C573" s="3"/>
      <c r="D573" s="3"/>
      <c r="E573" s="3"/>
      <c r="F573" s="3"/>
      <c r="G573" s="3"/>
      <c r="H573" s="3"/>
      <c r="I573" s="3"/>
      <c r="J573" s="3"/>
      <c r="K573" s="3"/>
    </row>
    <row r="574" spans="1:11" hidden="1" x14ac:dyDescent="0.2">
      <c r="A574" s="3"/>
      <c r="B574" s="3"/>
      <c r="C574" s="3"/>
      <c r="D574" s="3"/>
      <c r="E574" s="3"/>
      <c r="F574" s="3"/>
      <c r="G574" s="3"/>
      <c r="H574" s="3"/>
      <c r="I574" s="3"/>
      <c r="J574" s="3"/>
      <c r="K574" s="3"/>
    </row>
    <row r="575" spans="1:11" hidden="1" x14ac:dyDescent="0.2">
      <c r="A575" s="3"/>
      <c r="B575" s="3"/>
      <c r="C575" s="3"/>
      <c r="D575" s="3"/>
      <c r="E575" s="3"/>
      <c r="F575" s="3"/>
      <c r="G575" s="3"/>
      <c r="H575" s="3"/>
      <c r="I575" s="3"/>
      <c r="J575" s="3"/>
      <c r="K575" s="3"/>
    </row>
    <row r="576" spans="1:11" hidden="1" x14ac:dyDescent="0.2">
      <c r="A576" s="3"/>
      <c r="B576" s="3"/>
      <c r="C576" s="3"/>
      <c r="D576" s="3"/>
      <c r="E576" s="3"/>
      <c r="F576" s="3"/>
      <c r="G576" s="3"/>
      <c r="H576" s="3"/>
      <c r="I576" s="3"/>
      <c r="J576" s="3"/>
      <c r="K576" s="3"/>
    </row>
    <row r="577" spans="1:11" hidden="1" x14ac:dyDescent="0.2">
      <c r="A577" s="3"/>
      <c r="B577" s="3"/>
      <c r="C577" s="3"/>
      <c r="D577" s="3"/>
      <c r="E577" s="3"/>
      <c r="F577" s="3"/>
      <c r="G577" s="3"/>
      <c r="H577" s="3"/>
      <c r="I577" s="3"/>
      <c r="J577" s="3"/>
      <c r="K577" s="3"/>
    </row>
    <row r="578" spans="1:11" hidden="1" x14ac:dyDescent="0.2">
      <c r="A578" s="3"/>
      <c r="B578" s="3"/>
      <c r="C578" s="3"/>
      <c r="D578" s="3"/>
      <c r="E578" s="3"/>
      <c r="F578" s="3"/>
      <c r="G578" s="3"/>
      <c r="H578" s="3"/>
      <c r="I578" s="3"/>
      <c r="J578" s="3"/>
      <c r="K578" s="3"/>
    </row>
    <row r="579" spans="1:11" hidden="1" x14ac:dyDescent="0.2">
      <c r="A579" s="3"/>
      <c r="B579" s="3"/>
      <c r="C579" s="3"/>
      <c r="D579" s="3"/>
      <c r="E579" s="3"/>
      <c r="F579" s="3"/>
      <c r="G579" s="3"/>
      <c r="H579" s="3"/>
      <c r="I579" s="3"/>
      <c r="J579" s="3"/>
      <c r="K579" s="3"/>
    </row>
    <row r="580" spans="1:11" hidden="1" x14ac:dyDescent="0.2">
      <c r="A580" s="3"/>
      <c r="B580" s="3"/>
      <c r="C580" s="3"/>
      <c r="D580" s="3"/>
      <c r="E580" s="3"/>
      <c r="F580" s="3"/>
      <c r="G580" s="3"/>
      <c r="H580" s="3"/>
      <c r="I580" s="3"/>
      <c r="J580" s="3"/>
      <c r="K580" s="3"/>
    </row>
    <row r="581" spans="1:11" hidden="1" x14ac:dyDescent="0.2">
      <c r="A581" s="3"/>
      <c r="B581" s="3"/>
      <c r="C581" s="3"/>
      <c r="D581" s="3"/>
      <c r="E581" s="3"/>
      <c r="F581" s="3"/>
      <c r="G581" s="3"/>
      <c r="H581" s="3"/>
      <c r="I581" s="3"/>
      <c r="J581" s="3"/>
      <c r="K581" s="3"/>
    </row>
    <row r="582" spans="1:11" hidden="1" x14ac:dyDescent="0.2">
      <c r="A582" s="3"/>
      <c r="B582" s="3"/>
      <c r="C582" s="3"/>
      <c r="D582" s="3"/>
      <c r="E582" s="3"/>
      <c r="F582" s="3"/>
      <c r="G582" s="3"/>
      <c r="H582" s="3"/>
      <c r="I582" s="3"/>
      <c r="J582" s="3"/>
      <c r="K582" s="3"/>
    </row>
    <row r="583" spans="1:11" hidden="1" x14ac:dyDescent="0.2">
      <c r="A583" s="3"/>
      <c r="B583" s="3"/>
      <c r="C583" s="3"/>
      <c r="D583" s="3"/>
      <c r="E583" s="3"/>
      <c r="F583" s="3"/>
      <c r="G583" s="3"/>
      <c r="H583" s="3"/>
      <c r="I583" s="3"/>
      <c r="J583" s="3"/>
      <c r="K583" s="3"/>
    </row>
    <row r="584" spans="1:11" hidden="1" x14ac:dyDescent="0.2">
      <c r="A584" s="3"/>
      <c r="B584" s="3"/>
      <c r="C584" s="3"/>
      <c r="D584" s="3"/>
      <c r="E584" s="3"/>
      <c r="F584" s="3"/>
      <c r="G584" s="3"/>
      <c r="H584" s="3"/>
      <c r="I584" s="3"/>
      <c r="J584" s="3"/>
      <c r="K584" s="3"/>
    </row>
    <row r="585" spans="1:11" hidden="1" x14ac:dyDescent="0.2">
      <c r="A585" s="3"/>
      <c r="B585" s="3"/>
      <c r="C585" s="3"/>
      <c r="D585" s="3"/>
      <c r="E585" s="3"/>
      <c r="F585" s="3"/>
      <c r="G585" s="3"/>
      <c r="H585" s="3"/>
      <c r="I585" s="3"/>
      <c r="J585" s="3"/>
      <c r="K585" s="3"/>
    </row>
    <row r="586" spans="1:11" hidden="1" x14ac:dyDescent="0.2">
      <c r="A586" s="3"/>
      <c r="B586" s="3"/>
      <c r="C586" s="3"/>
      <c r="D586" s="3"/>
      <c r="E586" s="3"/>
      <c r="F586" s="3"/>
      <c r="G586" s="3"/>
      <c r="H586" s="3"/>
      <c r="I586" s="3"/>
      <c r="J586" s="3"/>
      <c r="K586" s="3"/>
    </row>
    <row r="587" spans="1:11" hidden="1" x14ac:dyDescent="0.2">
      <c r="A587" s="3"/>
      <c r="B587" s="3"/>
      <c r="C587" s="3"/>
      <c r="D587" s="3"/>
      <c r="E587" s="3"/>
      <c r="F587" s="3"/>
      <c r="G587" s="3"/>
      <c r="H587" s="3"/>
      <c r="I587" s="3"/>
      <c r="J587" s="3"/>
      <c r="K587" s="3"/>
    </row>
    <row r="588" spans="1:11" hidden="1" x14ac:dyDescent="0.2">
      <c r="A588" s="3"/>
      <c r="B588" s="3"/>
      <c r="C588" s="3"/>
      <c r="D588" s="3"/>
      <c r="E588" s="3"/>
      <c r="F588" s="3"/>
      <c r="G588" s="3"/>
      <c r="H588" s="3"/>
      <c r="I588" s="3"/>
      <c r="J588" s="3"/>
      <c r="K588" s="3"/>
    </row>
    <row r="589" spans="1:11" hidden="1" x14ac:dyDescent="0.2">
      <c r="A589" s="3"/>
      <c r="B589" s="3"/>
      <c r="C589" s="3"/>
      <c r="D589" s="3"/>
      <c r="E589" s="3"/>
      <c r="F589" s="3"/>
      <c r="G589" s="3"/>
      <c r="H589" s="3"/>
      <c r="I589" s="3"/>
      <c r="J589" s="3"/>
      <c r="K589" s="3"/>
    </row>
    <row r="590" spans="1:11" hidden="1" x14ac:dyDescent="0.2">
      <c r="A590" s="3"/>
      <c r="B590" s="3"/>
      <c r="C590" s="3"/>
      <c r="D590" s="3"/>
      <c r="E590" s="3"/>
      <c r="F590" s="3"/>
      <c r="G590" s="3"/>
      <c r="H590" s="3"/>
      <c r="I590" s="3"/>
      <c r="J590" s="3"/>
      <c r="K590" s="3"/>
    </row>
    <row r="591" spans="1:11" hidden="1" x14ac:dyDescent="0.2">
      <c r="A591" s="3"/>
      <c r="B591" s="3"/>
      <c r="C591" s="3"/>
      <c r="D591" s="3"/>
      <c r="E591" s="3"/>
      <c r="F591" s="3"/>
      <c r="G591" s="3"/>
      <c r="H591" s="3"/>
      <c r="I591" s="3"/>
      <c r="J591" s="3"/>
      <c r="K591" s="3"/>
    </row>
    <row r="592" spans="1:11" hidden="1" x14ac:dyDescent="0.2">
      <c r="A592" s="3"/>
      <c r="B592" s="3"/>
      <c r="C592" s="3"/>
      <c r="D592" s="3"/>
      <c r="E592" s="3"/>
      <c r="F592" s="3"/>
      <c r="G592" s="3"/>
      <c r="H592" s="3"/>
      <c r="I592" s="3"/>
      <c r="J592" s="3"/>
      <c r="K592" s="3"/>
    </row>
    <row r="593" spans="1:11" hidden="1" x14ac:dyDescent="0.2">
      <c r="A593" s="3"/>
      <c r="B593" s="3"/>
      <c r="C593" s="3"/>
      <c r="D593" s="3"/>
      <c r="E593" s="3"/>
      <c r="F593" s="3"/>
      <c r="G593" s="3"/>
      <c r="H593" s="3"/>
      <c r="I593" s="3"/>
      <c r="J593" s="3"/>
      <c r="K593" s="3"/>
    </row>
    <row r="594" spans="1:11" hidden="1" x14ac:dyDescent="0.2">
      <c r="A594" s="3"/>
      <c r="B594" s="3"/>
      <c r="C594" s="3"/>
      <c r="D594" s="3"/>
      <c r="E594" s="3"/>
      <c r="F594" s="3"/>
      <c r="G594" s="3"/>
      <c r="H594" s="3"/>
      <c r="I594" s="3"/>
      <c r="J594" s="3"/>
      <c r="K594" s="3"/>
    </row>
    <row r="595" spans="1:11" hidden="1" x14ac:dyDescent="0.2">
      <c r="A595" s="3"/>
      <c r="B595" s="3"/>
      <c r="C595" s="3"/>
      <c r="D595" s="3"/>
      <c r="E595" s="3"/>
      <c r="F595" s="3"/>
      <c r="G595" s="3"/>
      <c r="H595" s="3"/>
      <c r="I595" s="3"/>
      <c r="J595" s="3"/>
      <c r="K595" s="3"/>
    </row>
    <row r="596" spans="1:11" hidden="1" x14ac:dyDescent="0.2">
      <c r="A596" s="3"/>
      <c r="B596" s="3"/>
      <c r="C596" s="3"/>
      <c r="D596" s="3"/>
      <c r="E596" s="3"/>
      <c r="F596" s="3"/>
      <c r="G596" s="3"/>
      <c r="H596" s="3"/>
      <c r="I596" s="3"/>
      <c r="J596" s="3"/>
      <c r="K596" s="3"/>
    </row>
    <row r="597" spans="1:11" hidden="1" x14ac:dyDescent="0.2">
      <c r="A597" s="3"/>
      <c r="B597" s="3"/>
      <c r="C597" s="3"/>
      <c r="D597" s="3"/>
      <c r="E597" s="3"/>
      <c r="F597" s="3"/>
      <c r="G597" s="3"/>
      <c r="H597" s="3"/>
      <c r="I597" s="3"/>
      <c r="J597" s="3"/>
      <c r="K597" s="3"/>
    </row>
    <row r="598" spans="1:11" hidden="1" x14ac:dyDescent="0.2">
      <c r="A598" s="3"/>
      <c r="B598" s="3"/>
      <c r="C598" s="3"/>
      <c r="D598" s="3"/>
      <c r="E598" s="3"/>
      <c r="F598" s="3"/>
      <c r="G598" s="3"/>
      <c r="H598" s="3"/>
      <c r="I598" s="3"/>
      <c r="J598" s="3"/>
      <c r="K598" s="3"/>
    </row>
    <row r="599" spans="1:11" hidden="1" x14ac:dyDescent="0.2">
      <c r="A599" s="3"/>
      <c r="B599" s="3"/>
      <c r="C599" s="3"/>
      <c r="D599" s="3"/>
      <c r="E599" s="3"/>
      <c r="F599" s="3"/>
      <c r="G599" s="3"/>
      <c r="H599" s="3"/>
      <c r="I599" s="3"/>
      <c r="J599" s="3"/>
      <c r="K599" s="3"/>
    </row>
    <row r="600" spans="1:11" hidden="1" x14ac:dyDescent="0.2">
      <c r="A600" s="3"/>
      <c r="B600" s="3"/>
      <c r="C600" s="3"/>
      <c r="D600" s="3"/>
      <c r="E600" s="3"/>
      <c r="F600" s="3"/>
      <c r="G600" s="3"/>
      <c r="H600" s="3"/>
      <c r="I600" s="3"/>
      <c r="J600" s="3"/>
      <c r="K600" s="3"/>
    </row>
    <row r="601" spans="1:11" hidden="1" x14ac:dyDescent="0.2">
      <c r="A601" s="3"/>
      <c r="B601" s="3"/>
      <c r="C601" s="3"/>
      <c r="D601" s="3"/>
      <c r="E601" s="3"/>
      <c r="F601" s="3"/>
      <c r="G601" s="3"/>
      <c r="H601" s="3"/>
      <c r="I601" s="3"/>
      <c r="J601" s="3"/>
      <c r="K601" s="3"/>
    </row>
    <row r="602" spans="1:11" hidden="1" x14ac:dyDescent="0.2">
      <c r="A602" s="3"/>
      <c r="B602" s="3"/>
      <c r="C602" s="3"/>
      <c r="D602" s="3"/>
      <c r="E602" s="3"/>
      <c r="F602" s="3"/>
      <c r="G602" s="3"/>
      <c r="H602" s="3"/>
      <c r="I602" s="3"/>
      <c r="J602" s="3"/>
      <c r="K602" s="3"/>
    </row>
    <row r="603" spans="1:11" hidden="1" x14ac:dyDescent="0.2">
      <c r="A603" s="3"/>
      <c r="B603" s="3"/>
      <c r="C603" s="3"/>
      <c r="D603" s="3"/>
      <c r="E603" s="3"/>
      <c r="F603" s="3"/>
      <c r="G603" s="3"/>
      <c r="H603" s="3"/>
      <c r="I603" s="3"/>
      <c r="J603" s="3"/>
      <c r="K603" s="3"/>
    </row>
    <row r="604" spans="1:11" hidden="1" x14ac:dyDescent="0.2">
      <c r="A604" s="3"/>
      <c r="B604" s="3"/>
      <c r="C604" s="3"/>
      <c r="D604" s="3"/>
      <c r="E604" s="3"/>
      <c r="F604" s="3"/>
      <c r="G604" s="3"/>
      <c r="H604" s="3"/>
      <c r="I604" s="3"/>
      <c r="J604" s="3"/>
      <c r="K604" s="3"/>
    </row>
    <row r="605" spans="1:11" hidden="1" x14ac:dyDescent="0.2">
      <c r="A605" s="3"/>
      <c r="B605" s="3"/>
      <c r="C605" s="3"/>
      <c r="D605" s="3"/>
      <c r="E605" s="3"/>
      <c r="F605" s="3"/>
      <c r="G605" s="3"/>
      <c r="H605" s="3"/>
      <c r="I605" s="3"/>
      <c r="J605" s="3"/>
      <c r="K605" s="3"/>
    </row>
    <row r="606" spans="1:11" hidden="1" x14ac:dyDescent="0.2">
      <c r="A606" s="3"/>
      <c r="B606" s="3"/>
      <c r="C606" s="3"/>
      <c r="D606" s="3"/>
      <c r="E606" s="3"/>
      <c r="F606" s="3"/>
      <c r="G606" s="3"/>
      <c r="H606" s="3"/>
      <c r="I606" s="3"/>
      <c r="J606" s="3"/>
      <c r="K606" s="3"/>
    </row>
    <row r="607" spans="1:11" hidden="1" x14ac:dyDescent="0.2">
      <c r="A607" s="3"/>
      <c r="B607" s="3"/>
      <c r="C607" s="3"/>
      <c r="D607" s="3"/>
      <c r="E607" s="3"/>
      <c r="F607" s="3"/>
      <c r="G607" s="3"/>
      <c r="H607" s="3"/>
      <c r="I607" s="3"/>
      <c r="J607" s="3"/>
      <c r="K607" s="3"/>
    </row>
    <row r="608" spans="1:11" hidden="1" x14ac:dyDescent="0.2">
      <c r="A608" s="3"/>
      <c r="B608" s="3"/>
      <c r="C608" s="3"/>
      <c r="D608" s="3"/>
      <c r="E608" s="3"/>
      <c r="F608" s="3"/>
      <c r="G608" s="3"/>
      <c r="H608" s="3"/>
      <c r="I608" s="3"/>
      <c r="J608" s="3"/>
      <c r="K608" s="3"/>
    </row>
    <row r="609" spans="1:11" hidden="1" x14ac:dyDescent="0.2">
      <c r="A609" s="3"/>
      <c r="B609" s="3"/>
      <c r="C609" s="3"/>
      <c r="D609" s="3"/>
      <c r="E609" s="3"/>
      <c r="F609" s="3"/>
      <c r="G609" s="3"/>
      <c r="H609" s="3"/>
      <c r="I609" s="3"/>
      <c r="J609" s="3"/>
      <c r="K609" s="3"/>
    </row>
    <row r="610" spans="1:11" hidden="1" x14ac:dyDescent="0.2">
      <c r="A610" s="3"/>
      <c r="B610" s="3"/>
      <c r="C610" s="3"/>
      <c r="D610" s="3"/>
      <c r="E610" s="3"/>
      <c r="F610" s="3"/>
      <c r="G610" s="3"/>
      <c r="H610" s="3"/>
      <c r="I610" s="3"/>
      <c r="J610" s="3"/>
      <c r="K610" s="3"/>
    </row>
    <row r="611" spans="1:11" hidden="1" x14ac:dyDescent="0.2">
      <c r="A611" s="3"/>
      <c r="B611" s="3"/>
      <c r="C611" s="3"/>
      <c r="D611" s="3"/>
      <c r="E611" s="3"/>
      <c r="F611" s="3"/>
      <c r="G611" s="3"/>
      <c r="H611" s="3"/>
      <c r="I611" s="3"/>
      <c r="J611" s="3"/>
      <c r="K611" s="3"/>
    </row>
    <row r="612" spans="1:11" hidden="1" x14ac:dyDescent="0.2">
      <c r="A612" s="3"/>
      <c r="B612" s="3"/>
      <c r="C612" s="3"/>
      <c r="D612" s="3"/>
      <c r="E612" s="3"/>
      <c r="F612" s="3"/>
      <c r="G612" s="3"/>
      <c r="H612" s="3"/>
      <c r="I612" s="3"/>
      <c r="J612" s="3"/>
      <c r="K612" s="3"/>
    </row>
    <row r="613" spans="1:11" hidden="1" x14ac:dyDescent="0.2">
      <c r="A613" s="3"/>
      <c r="B613" s="3"/>
      <c r="C613" s="3"/>
      <c r="D613" s="3"/>
      <c r="E613" s="3"/>
      <c r="F613" s="3"/>
      <c r="G613" s="3"/>
      <c r="H613" s="3"/>
      <c r="I613" s="3"/>
      <c r="J613" s="3"/>
      <c r="K613" s="3"/>
    </row>
    <row r="614" spans="1:11" hidden="1" x14ac:dyDescent="0.2">
      <c r="A614" s="3"/>
      <c r="B614" s="3"/>
      <c r="C614" s="3"/>
      <c r="D614" s="3"/>
      <c r="E614" s="3"/>
      <c r="F614" s="3"/>
      <c r="G614" s="3"/>
      <c r="H614" s="3"/>
      <c r="I614" s="3"/>
      <c r="J614" s="3"/>
      <c r="K614" s="3"/>
    </row>
    <row r="615" spans="1:11" hidden="1" x14ac:dyDescent="0.2">
      <c r="A615" s="3"/>
      <c r="B615" s="3"/>
      <c r="C615" s="3"/>
      <c r="D615" s="3"/>
      <c r="E615" s="3"/>
      <c r="F615" s="3"/>
      <c r="G615" s="3"/>
      <c r="H615" s="3"/>
      <c r="I615" s="3"/>
      <c r="J615" s="3"/>
      <c r="K615" s="3"/>
    </row>
    <row r="616" spans="1:11" hidden="1" x14ac:dyDescent="0.2">
      <c r="A616" s="3"/>
      <c r="B616" s="3"/>
      <c r="C616" s="3"/>
      <c r="D616" s="3"/>
      <c r="E616" s="3"/>
      <c r="F616" s="3"/>
      <c r="G616" s="3"/>
      <c r="H616" s="3"/>
      <c r="I616" s="3"/>
      <c r="J616" s="3"/>
      <c r="K616" s="3"/>
    </row>
    <row r="617" spans="1:11" hidden="1" x14ac:dyDescent="0.2">
      <c r="A617" s="3"/>
      <c r="B617" s="3"/>
      <c r="C617" s="3"/>
      <c r="D617" s="3"/>
      <c r="E617" s="3"/>
      <c r="F617" s="3"/>
      <c r="G617" s="3"/>
      <c r="H617" s="3"/>
      <c r="I617" s="3"/>
      <c r="J617" s="3"/>
      <c r="K617" s="3"/>
    </row>
    <row r="618" spans="1:11" hidden="1" x14ac:dyDescent="0.2">
      <c r="A618" s="3"/>
      <c r="B618" s="3"/>
      <c r="C618" s="3"/>
      <c r="D618" s="3"/>
      <c r="E618" s="3"/>
      <c r="F618" s="3"/>
      <c r="G618" s="3"/>
      <c r="H618" s="3"/>
      <c r="I618" s="3"/>
      <c r="J618" s="3"/>
      <c r="K618" s="3"/>
    </row>
    <row r="619" spans="1:11" hidden="1" x14ac:dyDescent="0.2">
      <c r="A619" s="3"/>
      <c r="B619" s="3"/>
      <c r="C619" s="3"/>
      <c r="D619" s="3"/>
      <c r="E619" s="3"/>
      <c r="F619" s="3"/>
      <c r="G619" s="3"/>
      <c r="H619" s="3"/>
      <c r="I619" s="3"/>
      <c r="J619" s="3"/>
      <c r="K619" s="3"/>
    </row>
    <row r="620" spans="1:11" hidden="1" x14ac:dyDescent="0.2">
      <c r="A620" s="3"/>
      <c r="B620" s="3"/>
      <c r="C620" s="3"/>
      <c r="D620" s="3"/>
      <c r="E620" s="3"/>
      <c r="F620" s="3"/>
      <c r="G620" s="3"/>
      <c r="H620" s="3"/>
      <c r="I620" s="3"/>
      <c r="J620" s="3"/>
      <c r="K620" s="3"/>
    </row>
    <row r="621" spans="1:11" hidden="1" x14ac:dyDescent="0.2">
      <c r="A621" s="3"/>
      <c r="B621" s="3"/>
      <c r="C621" s="3"/>
      <c r="D621" s="3"/>
      <c r="E621" s="3"/>
      <c r="F621" s="3"/>
      <c r="G621" s="3"/>
      <c r="H621" s="3"/>
      <c r="I621" s="3"/>
      <c r="J621" s="3"/>
      <c r="K621" s="3"/>
    </row>
    <row r="622" spans="1:11" hidden="1" x14ac:dyDescent="0.2">
      <c r="A622" s="3"/>
      <c r="B622" s="3"/>
      <c r="C622" s="3"/>
      <c r="D622" s="3"/>
      <c r="E622" s="3"/>
      <c r="F622" s="3"/>
      <c r="G622" s="3"/>
      <c r="H622" s="3"/>
      <c r="I622" s="3"/>
      <c r="J622" s="3"/>
      <c r="K622" s="3"/>
    </row>
    <row r="623" spans="1:11" hidden="1" x14ac:dyDescent="0.2">
      <c r="A623" s="3"/>
      <c r="B623" s="3"/>
      <c r="C623" s="3"/>
      <c r="D623" s="3"/>
      <c r="E623" s="3"/>
      <c r="F623" s="3"/>
      <c r="G623" s="3"/>
      <c r="H623" s="3"/>
      <c r="I623" s="3"/>
      <c r="J623" s="3"/>
      <c r="K623" s="3"/>
    </row>
    <row r="624" spans="1:11" hidden="1" x14ac:dyDescent="0.2">
      <c r="A624" s="3"/>
      <c r="B624" s="3"/>
      <c r="C624" s="3"/>
      <c r="D624" s="3"/>
      <c r="E624" s="3"/>
      <c r="F624" s="3"/>
      <c r="G624" s="3"/>
      <c r="H624" s="3"/>
      <c r="I624" s="3"/>
      <c r="J624" s="3"/>
      <c r="K624" s="3"/>
    </row>
    <row r="625" spans="1:11" hidden="1" x14ac:dyDescent="0.2">
      <c r="A625" s="3"/>
      <c r="B625" s="3"/>
      <c r="C625" s="3"/>
      <c r="D625" s="3"/>
      <c r="E625" s="3"/>
      <c r="F625" s="3"/>
      <c r="G625" s="3"/>
      <c r="H625" s="3"/>
      <c r="I625" s="3"/>
      <c r="J625" s="3"/>
      <c r="K625" s="3"/>
    </row>
    <row r="626" spans="1:11" hidden="1" x14ac:dyDescent="0.2">
      <c r="A626" s="3"/>
      <c r="B626" s="3"/>
      <c r="C626" s="3"/>
      <c r="D626" s="3"/>
      <c r="E626" s="3"/>
      <c r="F626" s="3"/>
      <c r="G626" s="3"/>
      <c r="H626" s="3"/>
      <c r="I626" s="3"/>
      <c r="J626" s="3"/>
      <c r="K626" s="3"/>
    </row>
    <row r="627" spans="1:11" hidden="1" x14ac:dyDescent="0.2">
      <c r="A627" s="3"/>
      <c r="B627" s="3"/>
      <c r="C627" s="3"/>
      <c r="D627" s="3"/>
      <c r="E627" s="3"/>
      <c r="F627" s="3"/>
      <c r="G627" s="3"/>
      <c r="H627" s="3"/>
      <c r="I627" s="3"/>
      <c r="J627" s="3"/>
      <c r="K627" s="3"/>
    </row>
    <row r="628" spans="1:11" hidden="1" x14ac:dyDescent="0.2">
      <c r="A628" s="3"/>
      <c r="B628" s="3"/>
      <c r="C628" s="3"/>
      <c r="D628" s="3"/>
      <c r="E628" s="3"/>
      <c r="F628" s="3"/>
      <c r="G628" s="3"/>
      <c r="H628" s="3"/>
      <c r="I628" s="3"/>
      <c r="J628" s="3"/>
      <c r="K628" s="3"/>
    </row>
    <row r="629" spans="1:11" hidden="1" x14ac:dyDescent="0.2">
      <c r="A629" s="3"/>
      <c r="B629" s="3"/>
      <c r="C629" s="3"/>
      <c r="D629" s="3"/>
      <c r="E629" s="3"/>
      <c r="F629" s="3"/>
      <c r="G629" s="3"/>
      <c r="H629" s="3"/>
      <c r="I629" s="3"/>
      <c r="J629" s="3"/>
      <c r="K629" s="3"/>
    </row>
    <row r="630" spans="1:11" hidden="1" x14ac:dyDescent="0.2">
      <c r="A630" s="3"/>
      <c r="B630" s="3"/>
      <c r="C630" s="3"/>
      <c r="D630" s="3"/>
      <c r="E630" s="3"/>
      <c r="F630" s="3"/>
      <c r="G630" s="3"/>
      <c r="H630" s="3"/>
      <c r="I630" s="3"/>
      <c r="J630" s="3"/>
      <c r="K630" s="3"/>
    </row>
    <row r="631" spans="1:11" hidden="1" x14ac:dyDescent="0.2">
      <c r="A631" s="3"/>
      <c r="B631" s="3"/>
      <c r="C631" s="3"/>
      <c r="D631" s="3"/>
      <c r="E631" s="3"/>
      <c r="F631" s="3"/>
      <c r="G631" s="3"/>
      <c r="H631" s="3"/>
      <c r="I631" s="3"/>
      <c r="J631" s="3"/>
      <c r="K631" s="3"/>
    </row>
    <row r="632" spans="1:11" hidden="1" x14ac:dyDescent="0.2">
      <c r="A632" s="3"/>
      <c r="B632" s="3"/>
      <c r="C632" s="3"/>
      <c r="D632" s="3"/>
      <c r="E632" s="3"/>
      <c r="F632" s="3"/>
      <c r="G632" s="3"/>
      <c r="H632" s="3"/>
      <c r="I632" s="3"/>
      <c r="J632" s="3"/>
      <c r="K632" s="3"/>
    </row>
    <row r="633" spans="1:11" hidden="1" x14ac:dyDescent="0.2">
      <c r="A633" s="3"/>
      <c r="B633" s="3"/>
      <c r="C633" s="3"/>
      <c r="D633" s="3"/>
      <c r="E633" s="3"/>
      <c r="F633" s="3"/>
      <c r="G633" s="3"/>
      <c r="H633" s="3"/>
      <c r="I633" s="3"/>
      <c r="J633" s="3"/>
      <c r="K633" s="3"/>
    </row>
    <row r="634" spans="1:11" hidden="1" x14ac:dyDescent="0.2">
      <c r="A634" s="3"/>
      <c r="B634" s="3"/>
      <c r="C634" s="3"/>
      <c r="D634" s="3"/>
      <c r="E634" s="3"/>
      <c r="F634" s="3"/>
      <c r="G634" s="3"/>
      <c r="H634" s="3"/>
      <c r="I634" s="3"/>
      <c r="J634" s="3"/>
      <c r="K634" s="3"/>
    </row>
    <row r="635" spans="1:11" hidden="1" x14ac:dyDescent="0.2">
      <c r="A635" s="3"/>
      <c r="B635" s="3"/>
      <c r="C635" s="3"/>
      <c r="D635" s="3"/>
      <c r="E635" s="3"/>
      <c r="F635" s="3"/>
      <c r="G635" s="3"/>
      <c r="H635" s="3"/>
      <c r="I635" s="3"/>
      <c r="J635" s="3"/>
      <c r="K635" s="3"/>
    </row>
    <row r="636" spans="1:11" hidden="1" x14ac:dyDescent="0.2">
      <c r="A636" s="3"/>
      <c r="B636" s="3"/>
      <c r="C636" s="3"/>
      <c r="D636" s="3"/>
      <c r="E636" s="3"/>
      <c r="F636" s="3"/>
      <c r="G636" s="3"/>
      <c r="H636" s="3"/>
      <c r="I636" s="3"/>
      <c r="J636" s="3"/>
      <c r="K636" s="3"/>
    </row>
    <row r="637" spans="1:11" hidden="1" x14ac:dyDescent="0.2">
      <c r="A637" s="3"/>
      <c r="B637" s="3"/>
      <c r="C637" s="3"/>
      <c r="D637" s="3"/>
      <c r="E637" s="3"/>
      <c r="F637" s="3"/>
      <c r="G637" s="3"/>
      <c r="H637" s="3"/>
      <c r="I637" s="3"/>
      <c r="J637" s="3"/>
      <c r="K637" s="3"/>
    </row>
    <row r="638" spans="1:11" hidden="1" x14ac:dyDescent="0.2">
      <c r="A638" s="3"/>
      <c r="B638" s="3"/>
      <c r="C638" s="3"/>
      <c r="D638" s="3"/>
      <c r="E638" s="3"/>
      <c r="F638" s="3"/>
      <c r="G638" s="3"/>
      <c r="H638" s="3"/>
      <c r="I638" s="3"/>
      <c r="J638" s="3"/>
      <c r="K638" s="3"/>
    </row>
    <row r="639" spans="1:11" hidden="1" x14ac:dyDescent="0.2">
      <c r="A639" s="3"/>
      <c r="B639" s="3"/>
      <c r="C639" s="3"/>
      <c r="D639" s="3"/>
      <c r="E639" s="3"/>
      <c r="F639" s="3"/>
      <c r="G639" s="3"/>
      <c r="H639" s="3"/>
      <c r="I639" s="3"/>
      <c r="J639" s="3"/>
      <c r="K639" s="3"/>
    </row>
    <row r="640" spans="1:11" hidden="1" x14ac:dyDescent="0.2">
      <c r="A640" s="3"/>
      <c r="B640" s="3"/>
      <c r="C640" s="3"/>
      <c r="D640" s="3"/>
      <c r="E640" s="3"/>
      <c r="F640" s="3"/>
      <c r="G640" s="3"/>
      <c r="H640" s="3"/>
      <c r="I640" s="3"/>
      <c r="J640" s="3"/>
      <c r="K640" s="3"/>
    </row>
    <row r="641" spans="1:11" hidden="1" x14ac:dyDescent="0.2">
      <c r="A641" s="3"/>
      <c r="B641" s="3"/>
      <c r="C641" s="3"/>
      <c r="D641" s="3"/>
      <c r="E641" s="3"/>
      <c r="F641" s="3"/>
      <c r="G641" s="3"/>
      <c r="H641" s="3"/>
      <c r="I641" s="3"/>
      <c r="J641" s="3"/>
      <c r="K641" s="3"/>
    </row>
    <row r="642" spans="1:11" hidden="1" x14ac:dyDescent="0.2">
      <c r="A642" s="3"/>
      <c r="B642" s="3"/>
      <c r="C642" s="3"/>
      <c r="D642" s="3"/>
      <c r="E642" s="3"/>
      <c r="F642" s="3"/>
      <c r="G642" s="3"/>
      <c r="H642" s="3"/>
      <c r="I642" s="3"/>
      <c r="J642" s="3"/>
      <c r="K642" s="3"/>
    </row>
    <row r="643" spans="1:11" hidden="1" x14ac:dyDescent="0.2">
      <c r="A643" s="3"/>
      <c r="B643" s="3"/>
      <c r="C643" s="3"/>
      <c r="D643" s="3"/>
      <c r="E643" s="3"/>
      <c r="F643" s="3"/>
      <c r="G643" s="3"/>
      <c r="H643" s="3"/>
      <c r="I643" s="3"/>
      <c r="J643" s="3"/>
      <c r="K643" s="3"/>
    </row>
    <row r="644" spans="1:11" hidden="1" x14ac:dyDescent="0.2">
      <c r="A644" s="3"/>
      <c r="B644" s="3"/>
      <c r="C644" s="3"/>
      <c r="D644" s="3"/>
      <c r="E644" s="3"/>
      <c r="F644" s="3"/>
      <c r="G644" s="3"/>
      <c r="H644" s="3"/>
      <c r="I644" s="3"/>
      <c r="J644" s="3"/>
      <c r="K644" s="3"/>
    </row>
    <row r="645" spans="1:11" hidden="1" x14ac:dyDescent="0.2">
      <c r="A645" s="3"/>
      <c r="B645" s="3"/>
      <c r="C645" s="3"/>
      <c r="D645" s="3"/>
      <c r="E645" s="3"/>
      <c r="F645" s="3"/>
      <c r="G645" s="3"/>
      <c r="H645" s="3"/>
      <c r="I645" s="3"/>
      <c r="J645" s="3"/>
      <c r="K645" s="3"/>
    </row>
    <row r="646" spans="1:11" hidden="1" x14ac:dyDescent="0.2">
      <c r="A646" s="3"/>
      <c r="B646" s="3"/>
      <c r="C646" s="3"/>
      <c r="D646" s="3"/>
      <c r="E646" s="3"/>
      <c r="F646" s="3"/>
      <c r="G646" s="3"/>
      <c r="H646" s="3"/>
      <c r="I646" s="3"/>
      <c r="J646" s="3"/>
      <c r="K646" s="3"/>
    </row>
    <row r="647" spans="1:11" hidden="1" x14ac:dyDescent="0.2">
      <c r="A647" s="3"/>
      <c r="B647" s="3"/>
      <c r="C647" s="3"/>
      <c r="D647" s="3"/>
      <c r="E647" s="3"/>
      <c r="F647" s="3"/>
      <c r="G647" s="3"/>
      <c r="H647" s="3"/>
      <c r="I647" s="3"/>
      <c r="J647" s="3"/>
      <c r="K647" s="3"/>
    </row>
    <row r="648" spans="1:11" hidden="1" x14ac:dyDescent="0.2">
      <c r="A648" s="3"/>
      <c r="B648" s="3"/>
      <c r="C648" s="3"/>
      <c r="D648" s="3"/>
      <c r="E648" s="3"/>
      <c r="F648" s="3"/>
      <c r="G648" s="3"/>
      <c r="H648" s="3"/>
      <c r="I648" s="3"/>
      <c r="J648" s="3"/>
      <c r="K648" s="3"/>
    </row>
    <row r="649" spans="1:11" hidden="1" x14ac:dyDescent="0.2">
      <c r="A649" s="3"/>
      <c r="B649" s="3"/>
      <c r="C649" s="3"/>
      <c r="D649" s="3"/>
      <c r="E649" s="3"/>
      <c r="F649" s="3"/>
      <c r="G649" s="3"/>
      <c r="H649" s="3"/>
      <c r="I649" s="3"/>
      <c r="J649" s="3"/>
      <c r="K649" s="3"/>
    </row>
    <row r="650" spans="1:11" hidden="1" x14ac:dyDescent="0.2">
      <c r="A650" s="3"/>
      <c r="B650" s="3"/>
      <c r="C650" s="3"/>
      <c r="D650" s="3"/>
      <c r="E650" s="3"/>
      <c r="F650" s="3"/>
      <c r="G650" s="3"/>
      <c r="H650" s="3"/>
      <c r="I650" s="3"/>
      <c r="J650" s="3"/>
      <c r="K650" s="3"/>
    </row>
    <row r="651" spans="1:11" hidden="1" x14ac:dyDescent="0.2">
      <c r="A651" s="3"/>
      <c r="B651" s="3"/>
      <c r="C651" s="3"/>
      <c r="D651" s="3"/>
      <c r="E651" s="3"/>
      <c r="F651" s="3"/>
      <c r="G651" s="3"/>
      <c r="H651" s="3"/>
      <c r="I651" s="3"/>
      <c r="J651" s="3"/>
      <c r="K651" s="3"/>
    </row>
    <row r="652" spans="1:11" hidden="1" x14ac:dyDescent="0.2">
      <c r="A652" s="3"/>
      <c r="B652" s="3"/>
      <c r="C652" s="3"/>
      <c r="D652" s="3"/>
      <c r="E652" s="3"/>
      <c r="F652" s="3"/>
      <c r="G652" s="3"/>
      <c r="H652" s="3"/>
      <c r="I652" s="3"/>
      <c r="J652" s="3"/>
      <c r="K652" s="3"/>
    </row>
    <row r="653" spans="1:11" hidden="1" x14ac:dyDescent="0.2">
      <c r="A653" s="3"/>
      <c r="B653" s="3"/>
      <c r="C653" s="3"/>
      <c r="D653" s="3"/>
      <c r="E653" s="3"/>
      <c r="F653" s="3"/>
      <c r="G653" s="3"/>
      <c r="H653" s="3"/>
      <c r="I653" s="3"/>
      <c r="J653" s="3"/>
      <c r="K653" s="3"/>
    </row>
    <row r="654" spans="1:11" hidden="1" x14ac:dyDescent="0.2">
      <c r="A654" s="3"/>
      <c r="B654" s="3"/>
      <c r="C654" s="3"/>
      <c r="D654" s="3"/>
      <c r="E654" s="3"/>
      <c r="F654" s="3"/>
      <c r="G654" s="3"/>
      <c r="H654" s="3"/>
      <c r="I654" s="3"/>
      <c r="J654" s="3"/>
      <c r="K654" s="3"/>
    </row>
    <row r="655" spans="1:11" hidden="1" x14ac:dyDescent="0.2">
      <c r="A655" s="3"/>
      <c r="B655" s="3"/>
      <c r="C655" s="3"/>
      <c r="D655" s="3"/>
      <c r="E655" s="3"/>
      <c r="F655" s="3"/>
      <c r="G655" s="3"/>
      <c r="H655" s="3"/>
      <c r="I655" s="3"/>
      <c r="J655" s="3"/>
      <c r="K655" s="3"/>
    </row>
    <row r="656" spans="1:11" hidden="1" x14ac:dyDescent="0.2">
      <c r="A656" s="3"/>
      <c r="B656" s="3"/>
      <c r="C656" s="3"/>
      <c r="D656" s="3"/>
      <c r="E656" s="3"/>
      <c r="F656" s="3"/>
      <c r="G656" s="3"/>
      <c r="H656" s="3"/>
      <c r="I656" s="3"/>
      <c r="J656" s="3"/>
      <c r="K656" s="3"/>
    </row>
    <row r="657" spans="1:11" hidden="1" x14ac:dyDescent="0.2">
      <c r="A657" s="3"/>
      <c r="B657" s="3"/>
      <c r="C657" s="3"/>
      <c r="D657" s="3"/>
      <c r="E657" s="3"/>
      <c r="F657" s="3"/>
      <c r="G657" s="3"/>
      <c r="H657" s="3"/>
      <c r="I657" s="3"/>
      <c r="J657" s="3"/>
      <c r="K657" s="3"/>
    </row>
    <row r="658" spans="1:11" hidden="1" x14ac:dyDescent="0.2">
      <c r="A658" s="3"/>
      <c r="B658" s="3"/>
      <c r="C658" s="3"/>
      <c r="D658" s="3"/>
      <c r="E658" s="3"/>
      <c r="F658" s="3"/>
      <c r="G658" s="3"/>
      <c r="H658" s="3"/>
      <c r="I658" s="3"/>
      <c r="J658" s="3"/>
      <c r="K658" s="3"/>
    </row>
    <row r="659" spans="1:11" hidden="1" x14ac:dyDescent="0.2">
      <c r="A659" s="3"/>
      <c r="B659" s="3"/>
      <c r="C659" s="3"/>
      <c r="D659" s="3"/>
      <c r="E659" s="3"/>
      <c r="F659" s="3"/>
      <c r="G659" s="3"/>
      <c r="H659" s="3"/>
      <c r="I659" s="3"/>
      <c r="J659" s="3"/>
      <c r="K659" s="3"/>
    </row>
    <row r="660" spans="1:11" hidden="1" x14ac:dyDescent="0.2">
      <c r="A660" s="3"/>
      <c r="B660" s="3"/>
      <c r="C660" s="3"/>
      <c r="D660" s="3"/>
      <c r="E660" s="3"/>
      <c r="F660" s="3"/>
      <c r="G660" s="3"/>
      <c r="H660" s="3"/>
      <c r="I660" s="3"/>
      <c r="J660" s="3"/>
      <c r="K660" s="3"/>
    </row>
    <row r="661" spans="1:11" hidden="1" x14ac:dyDescent="0.2">
      <c r="A661" s="3"/>
      <c r="B661" s="3"/>
      <c r="C661" s="3"/>
      <c r="D661" s="3"/>
      <c r="E661" s="3"/>
      <c r="F661" s="3"/>
      <c r="G661" s="3"/>
      <c r="H661" s="3"/>
      <c r="I661" s="3"/>
      <c r="J661" s="3"/>
      <c r="K661" s="3"/>
    </row>
    <row r="662" spans="1:11" hidden="1" x14ac:dyDescent="0.2">
      <c r="A662" s="3"/>
      <c r="B662" s="3"/>
      <c r="C662" s="3"/>
      <c r="D662" s="3"/>
      <c r="E662" s="3"/>
      <c r="F662" s="3"/>
      <c r="G662" s="3"/>
      <c r="H662" s="3"/>
      <c r="I662" s="3"/>
      <c r="J662" s="3"/>
      <c r="K662" s="3"/>
    </row>
    <row r="663" spans="1:11" hidden="1" x14ac:dyDescent="0.2">
      <c r="A663" s="3"/>
      <c r="B663" s="3"/>
      <c r="C663" s="3"/>
      <c r="D663" s="3"/>
      <c r="E663" s="3"/>
      <c r="F663" s="3"/>
      <c r="G663" s="3"/>
      <c r="H663" s="3"/>
      <c r="I663" s="3"/>
      <c r="J663" s="3"/>
      <c r="K663" s="3"/>
    </row>
    <row r="664" spans="1:11" hidden="1" x14ac:dyDescent="0.2">
      <c r="A664" s="3"/>
      <c r="B664" s="3"/>
      <c r="C664" s="3"/>
      <c r="D664" s="3"/>
      <c r="E664" s="3"/>
      <c r="F664" s="3"/>
      <c r="G664" s="3"/>
      <c r="H664" s="3"/>
      <c r="I664" s="3"/>
      <c r="J664" s="3"/>
      <c r="K664" s="3"/>
    </row>
    <row r="665" spans="1:11" hidden="1" x14ac:dyDescent="0.2">
      <c r="A665" s="3"/>
      <c r="B665" s="3"/>
      <c r="C665" s="3"/>
      <c r="D665" s="3"/>
      <c r="E665" s="3"/>
      <c r="F665" s="3"/>
      <c r="G665" s="3"/>
      <c r="H665" s="3"/>
      <c r="I665" s="3"/>
      <c r="J665" s="3"/>
      <c r="K665" s="3"/>
    </row>
    <row r="666" spans="1:11" hidden="1" x14ac:dyDescent="0.2">
      <c r="A666" s="3"/>
      <c r="B666" s="3"/>
      <c r="C666" s="3"/>
      <c r="D666" s="3"/>
      <c r="E666" s="3"/>
      <c r="F666" s="3"/>
      <c r="G666" s="3"/>
      <c r="H666" s="3"/>
      <c r="I666" s="3"/>
      <c r="J666" s="3"/>
      <c r="K666" s="3"/>
    </row>
    <row r="667" spans="1:11" hidden="1" x14ac:dyDescent="0.2">
      <c r="A667" s="3"/>
      <c r="B667" s="3"/>
      <c r="C667" s="3"/>
      <c r="D667" s="3"/>
      <c r="E667" s="3"/>
      <c r="F667" s="3"/>
      <c r="G667" s="3"/>
      <c r="H667" s="3"/>
      <c r="I667" s="3"/>
      <c r="J667" s="3"/>
      <c r="K667" s="3"/>
    </row>
    <row r="668" spans="1:11" hidden="1" x14ac:dyDescent="0.2">
      <c r="A668" s="3"/>
      <c r="B668" s="3"/>
      <c r="C668" s="3"/>
      <c r="D668" s="3"/>
      <c r="E668" s="3"/>
      <c r="F668" s="3"/>
      <c r="G668" s="3"/>
      <c r="H668" s="3"/>
      <c r="I668" s="3"/>
      <c r="J668" s="3"/>
      <c r="K668" s="3"/>
    </row>
    <row r="669" spans="1:11" hidden="1" x14ac:dyDescent="0.2">
      <c r="A669" s="3"/>
      <c r="B669" s="3"/>
      <c r="C669" s="3"/>
      <c r="D669" s="3"/>
      <c r="E669" s="3"/>
      <c r="F669" s="3"/>
      <c r="G669" s="3"/>
      <c r="H669" s="3"/>
      <c r="I669" s="3"/>
      <c r="J669" s="3"/>
      <c r="K669" s="3"/>
    </row>
    <row r="670" spans="1:11" hidden="1" x14ac:dyDescent="0.2">
      <c r="A670" s="3"/>
      <c r="B670" s="3"/>
      <c r="C670" s="3"/>
      <c r="D670" s="3"/>
      <c r="E670" s="3"/>
      <c r="F670" s="3"/>
      <c r="G670" s="3"/>
      <c r="H670" s="3"/>
      <c r="I670" s="3"/>
      <c r="J670" s="3"/>
      <c r="K670" s="3"/>
    </row>
    <row r="671" spans="1:11" hidden="1" x14ac:dyDescent="0.2">
      <c r="A671" s="3"/>
      <c r="B671" s="3"/>
      <c r="C671" s="3"/>
      <c r="D671" s="3"/>
      <c r="E671" s="3"/>
      <c r="F671" s="3"/>
      <c r="G671" s="3"/>
      <c r="H671" s="3"/>
      <c r="I671" s="3"/>
      <c r="J671" s="3"/>
      <c r="K671" s="3"/>
    </row>
    <row r="672" spans="1:11" hidden="1" x14ac:dyDescent="0.2">
      <c r="A672" s="3"/>
      <c r="B672" s="3"/>
      <c r="C672" s="3"/>
      <c r="D672" s="3"/>
      <c r="E672" s="3"/>
      <c r="F672" s="3"/>
      <c r="G672" s="3"/>
      <c r="H672" s="3"/>
      <c r="I672" s="3"/>
      <c r="J672" s="3"/>
      <c r="K672" s="3"/>
    </row>
    <row r="673" spans="1:11" hidden="1" x14ac:dyDescent="0.2">
      <c r="A673" s="3"/>
      <c r="B673" s="3"/>
      <c r="C673" s="3"/>
      <c r="D673" s="3"/>
      <c r="E673" s="3"/>
      <c r="F673" s="3"/>
      <c r="G673" s="3"/>
      <c r="H673" s="3"/>
      <c r="I673" s="3"/>
      <c r="J673" s="3"/>
      <c r="K673" s="3"/>
    </row>
    <row r="674" spans="1:11" hidden="1" x14ac:dyDescent="0.2">
      <c r="A674" s="3"/>
      <c r="B674" s="3"/>
      <c r="C674" s="3"/>
      <c r="D674" s="3"/>
      <c r="E674" s="3"/>
      <c r="F674" s="3"/>
      <c r="G674" s="3"/>
      <c r="H674" s="3"/>
      <c r="I674" s="3"/>
      <c r="J674" s="3"/>
      <c r="K674" s="3"/>
    </row>
    <row r="675" spans="1:11" hidden="1" x14ac:dyDescent="0.2">
      <c r="A675" s="3"/>
      <c r="B675" s="3"/>
      <c r="C675" s="3"/>
      <c r="D675" s="3"/>
      <c r="E675" s="3"/>
      <c r="F675" s="3"/>
      <c r="G675" s="3"/>
      <c r="H675" s="3"/>
      <c r="I675" s="3"/>
      <c r="J675" s="3"/>
      <c r="K675" s="3"/>
    </row>
    <row r="676" spans="1:11" hidden="1" x14ac:dyDescent="0.2">
      <c r="A676" s="3"/>
      <c r="B676" s="3"/>
      <c r="C676" s="3"/>
      <c r="D676" s="3"/>
      <c r="E676" s="3"/>
      <c r="F676" s="3"/>
      <c r="G676" s="3"/>
      <c r="H676" s="3"/>
      <c r="I676" s="3"/>
      <c r="J676" s="3"/>
      <c r="K676" s="3"/>
    </row>
    <row r="677" spans="1:11" hidden="1" x14ac:dyDescent="0.2">
      <c r="A677" s="3"/>
      <c r="B677" s="3"/>
      <c r="C677" s="3"/>
      <c r="D677" s="3"/>
      <c r="E677" s="3"/>
      <c r="F677" s="3"/>
      <c r="G677" s="3"/>
      <c r="H677" s="3"/>
      <c r="I677" s="3"/>
      <c r="J677" s="3"/>
      <c r="K677" s="3"/>
    </row>
    <row r="678" spans="1:11" hidden="1" x14ac:dyDescent="0.2">
      <c r="A678" s="3"/>
      <c r="B678" s="3"/>
      <c r="C678" s="3"/>
      <c r="D678" s="3"/>
      <c r="E678" s="3"/>
      <c r="F678" s="3"/>
      <c r="G678" s="3"/>
      <c r="H678" s="3"/>
      <c r="I678" s="3"/>
      <c r="J678" s="3"/>
      <c r="K678" s="3"/>
    </row>
    <row r="679" spans="1:11" hidden="1" x14ac:dyDescent="0.2">
      <c r="A679" s="3"/>
      <c r="B679" s="3"/>
      <c r="C679" s="3"/>
      <c r="D679" s="3"/>
      <c r="E679" s="3"/>
      <c r="F679" s="3"/>
      <c r="G679" s="3"/>
      <c r="H679" s="3"/>
      <c r="I679" s="3"/>
      <c r="J679" s="3"/>
      <c r="K679" s="3"/>
    </row>
    <row r="680" spans="1:11" hidden="1" x14ac:dyDescent="0.2">
      <c r="A680" s="3"/>
      <c r="B680" s="3"/>
      <c r="C680" s="3"/>
      <c r="D680" s="3"/>
      <c r="E680" s="3"/>
      <c r="F680" s="3"/>
      <c r="G680" s="3"/>
      <c r="H680" s="3"/>
      <c r="I680" s="3"/>
      <c r="J680" s="3"/>
      <c r="K680" s="3"/>
    </row>
    <row r="681" spans="1:11" hidden="1" x14ac:dyDescent="0.2">
      <c r="A681" s="3"/>
      <c r="B681" s="3"/>
      <c r="C681" s="3"/>
      <c r="D681" s="3"/>
      <c r="E681" s="3"/>
      <c r="F681" s="3"/>
      <c r="G681" s="3"/>
      <c r="H681" s="3"/>
      <c r="I681" s="3"/>
      <c r="J681" s="3"/>
      <c r="K681" s="3"/>
    </row>
    <row r="682" spans="1:11" hidden="1" x14ac:dyDescent="0.2">
      <c r="A682" s="3"/>
      <c r="B682" s="3"/>
      <c r="C682" s="3"/>
      <c r="D682" s="3"/>
      <c r="E682" s="3"/>
      <c r="F682" s="3"/>
      <c r="G682" s="3"/>
      <c r="H682" s="3"/>
      <c r="I682" s="3"/>
      <c r="J682" s="3"/>
      <c r="K682" s="3"/>
    </row>
    <row r="683" spans="1:11" hidden="1" x14ac:dyDescent="0.2">
      <c r="A683" s="3"/>
      <c r="B683" s="3"/>
      <c r="C683" s="3"/>
      <c r="D683" s="3"/>
      <c r="E683" s="3"/>
      <c r="F683" s="3"/>
      <c r="G683" s="3"/>
      <c r="H683" s="3"/>
      <c r="I683" s="3"/>
      <c r="J683" s="3"/>
      <c r="K683" s="3"/>
    </row>
    <row r="684" spans="1:11" hidden="1" x14ac:dyDescent="0.2">
      <c r="A684" s="3"/>
      <c r="B684" s="3"/>
      <c r="C684" s="3"/>
      <c r="D684" s="3"/>
      <c r="E684" s="3"/>
      <c r="F684" s="3"/>
      <c r="G684" s="3"/>
      <c r="H684" s="3"/>
      <c r="I684" s="3"/>
      <c r="J684" s="3"/>
      <c r="K684" s="3"/>
    </row>
    <row r="685" spans="1:11" hidden="1" x14ac:dyDescent="0.2">
      <c r="A685" s="3"/>
      <c r="B685" s="3"/>
      <c r="C685" s="3"/>
      <c r="D685" s="3"/>
      <c r="E685" s="3"/>
      <c r="F685" s="3"/>
      <c r="G685" s="3"/>
      <c r="H685" s="3"/>
      <c r="I685" s="3"/>
      <c r="J685" s="3"/>
      <c r="K685" s="3"/>
    </row>
    <row r="686" spans="1:11" hidden="1" x14ac:dyDescent="0.2">
      <c r="A686" s="3"/>
      <c r="B686" s="3"/>
      <c r="C686" s="3"/>
      <c r="D686" s="3"/>
      <c r="E686" s="3"/>
      <c r="F686" s="3"/>
      <c r="G686" s="3"/>
      <c r="H686" s="3"/>
      <c r="I686" s="3"/>
      <c r="J686" s="3"/>
      <c r="K686" s="3"/>
    </row>
    <row r="687" spans="1:11" hidden="1" x14ac:dyDescent="0.2">
      <c r="A687" s="3"/>
      <c r="B687" s="3"/>
      <c r="C687" s="3"/>
      <c r="D687" s="3"/>
      <c r="E687" s="3"/>
      <c r="F687" s="3"/>
      <c r="G687" s="3"/>
      <c r="H687" s="3"/>
      <c r="I687" s="3"/>
      <c r="J687" s="3"/>
      <c r="K687" s="3"/>
    </row>
    <row r="688" spans="1:11" hidden="1" x14ac:dyDescent="0.2">
      <c r="A688" s="3"/>
      <c r="B688" s="3"/>
      <c r="C688" s="3"/>
      <c r="D688" s="3"/>
      <c r="E688" s="3"/>
      <c r="F688" s="3"/>
      <c r="G688" s="3"/>
      <c r="H688" s="3"/>
      <c r="I688" s="3"/>
      <c r="J688" s="3"/>
      <c r="K688" s="3"/>
    </row>
    <row r="689" spans="1:11" hidden="1" x14ac:dyDescent="0.2">
      <c r="A689" s="3"/>
      <c r="B689" s="3"/>
      <c r="C689" s="3"/>
      <c r="D689" s="3"/>
      <c r="E689" s="3"/>
      <c r="F689" s="3"/>
      <c r="G689" s="3"/>
      <c r="H689" s="3"/>
      <c r="I689" s="3"/>
      <c r="J689" s="3"/>
      <c r="K689" s="3"/>
    </row>
    <row r="690" spans="1:11" hidden="1" x14ac:dyDescent="0.2">
      <c r="A690" s="3"/>
      <c r="B690" s="3"/>
      <c r="C690" s="3"/>
      <c r="D690" s="3"/>
      <c r="E690" s="3"/>
      <c r="F690" s="3"/>
      <c r="G690" s="3"/>
      <c r="H690" s="3"/>
      <c r="I690" s="3"/>
      <c r="J690" s="3"/>
      <c r="K690" s="3"/>
    </row>
    <row r="691" spans="1:11" hidden="1" x14ac:dyDescent="0.2">
      <c r="A691" s="3"/>
      <c r="B691" s="3"/>
      <c r="C691" s="3"/>
      <c r="D691" s="3"/>
      <c r="E691" s="3"/>
      <c r="F691" s="3"/>
      <c r="G691" s="3"/>
      <c r="H691" s="3"/>
      <c r="I691" s="3"/>
      <c r="J691" s="3"/>
      <c r="K691" s="3"/>
    </row>
    <row r="692" spans="1:11" hidden="1" x14ac:dyDescent="0.2">
      <c r="A692" s="3"/>
      <c r="B692" s="3"/>
      <c r="C692" s="3"/>
      <c r="D692" s="3"/>
      <c r="E692" s="3"/>
      <c r="F692" s="3"/>
      <c r="G692" s="3"/>
      <c r="H692" s="3"/>
      <c r="I692" s="3"/>
      <c r="J692" s="3"/>
      <c r="K692" s="3"/>
    </row>
    <row r="693" spans="1:11" hidden="1" x14ac:dyDescent="0.2">
      <c r="A693" s="3"/>
      <c r="B693" s="3"/>
      <c r="C693" s="3"/>
      <c r="D693" s="3"/>
      <c r="E693" s="3"/>
      <c r="F693" s="3"/>
      <c r="G693" s="3"/>
      <c r="H693" s="3"/>
      <c r="I693" s="3"/>
      <c r="J693" s="3"/>
      <c r="K693" s="3"/>
    </row>
    <row r="694" spans="1:11" hidden="1" x14ac:dyDescent="0.2">
      <c r="A694" s="3"/>
      <c r="B694" s="3"/>
      <c r="C694" s="3"/>
      <c r="D694" s="3"/>
      <c r="E694" s="3"/>
      <c r="F694" s="3"/>
      <c r="G694" s="3"/>
      <c r="H694" s="3"/>
      <c r="I694" s="3"/>
      <c r="J694" s="3"/>
      <c r="K694" s="3"/>
    </row>
    <row r="695" spans="1:11" hidden="1" x14ac:dyDescent="0.2">
      <c r="A695" s="3"/>
      <c r="B695" s="3"/>
      <c r="C695" s="3"/>
      <c r="D695" s="3"/>
      <c r="E695" s="3"/>
      <c r="F695" s="3"/>
      <c r="G695" s="3"/>
      <c r="H695" s="3"/>
      <c r="I695" s="3"/>
      <c r="J695" s="3"/>
      <c r="K695" s="3"/>
    </row>
    <row r="696" spans="1:11" hidden="1" x14ac:dyDescent="0.2">
      <c r="A696" s="3"/>
      <c r="B696" s="3"/>
      <c r="C696" s="3"/>
      <c r="D696" s="3"/>
      <c r="E696" s="3"/>
      <c r="F696" s="3"/>
      <c r="G696" s="3"/>
      <c r="H696" s="3"/>
      <c r="I696" s="3"/>
      <c r="J696" s="3"/>
      <c r="K696" s="3"/>
    </row>
    <row r="697" spans="1:11" hidden="1" x14ac:dyDescent="0.2">
      <c r="A697" s="3"/>
      <c r="B697" s="3"/>
      <c r="C697" s="3"/>
      <c r="D697" s="3"/>
      <c r="E697" s="3"/>
      <c r="F697" s="3"/>
      <c r="G697" s="3"/>
      <c r="H697" s="3"/>
      <c r="I697" s="3"/>
      <c r="J697" s="3"/>
      <c r="K697" s="3"/>
    </row>
    <row r="698" spans="1:11" hidden="1" x14ac:dyDescent="0.2">
      <c r="A698" s="3"/>
      <c r="B698" s="3"/>
      <c r="C698" s="3"/>
      <c r="D698" s="3"/>
      <c r="E698" s="3"/>
      <c r="F698" s="3"/>
      <c r="G698" s="3"/>
      <c r="H698" s="3"/>
      <c r="I698" s="3"/>
      <c r="J698" s="3"/>
      <c r="K698" s="3"/>
    </row>
    <row r="699" spans="1:11" hidden="1" x14ac:dyDescent="0.2">
      <c r="A699" s="3"/>
      <c r="B699" s="3"/>
      <c r="C699" s="3"/>
      <c r="D699" s="3"/>
      <c r="E699" s="3"/>
      <c r="F699" s="3"/>
      <c r="G699" s="3"/>
      <c r="H699" s="3"/>
      <c r="I699" s="3"/>
      <c r="J699" s="3"/>
      <c r="K699" s="3"/>
    </row>
    <row r="700" spans="1:11" hidden="1" x14ac:dyDescent="0.2">
      <c r="A700" s="3"/>
      <c r="B700" s="3"/>
      <c r="C700" s="3"/>
      <c r="D700" s="3"/>
      <c r="E700" s="3"/>
      <c r="F700" s="3"/>
      <c r="G700" s="3"/>
      <c r="H700" s="3"/>
      <c r="I700" s="3"/>
      <c r="J700" s="3"/>
      <c r="K700" s="3"/>
    </row>
    <row r="701" spans="1:11" hidden="1" x14ac:dyDescent="0.2">
      <c r="A701" s="3"/>
      <c r="B701" s="3"/>
      <c r="C701" s="3"/>
      <c r="D701" s="3"/>
      <c r="E701" s="3"/>
      <c r="F701" s="3"/>
      <c r="G701" s="3"/>
      <c r="H701" s="3"/>
      <c r="I701" s="3"/>
      <c r="J701" s="3"/>
      <c r="K701" s="3"/>
    </row>
    <row r="702" spans="1:11" hidden="1" x14ac:dyDescent="0.2">
      <c r="A702" s="3"/>
      <c r="B702" s="3"/>
      <c r="C702" s="3"/>
      <c r="D702" s="3"/>
      <c r="E702" s="3"/>
      <c r="F702" s="3"/>
      <c r="G702" s="3"/>
      <c r="H702" s="3"/>
      <c r="I702" s="3"/>
      <c r="J702" s="3"/>
      <c r="K702" s="3"/>
    </row>
    <row r="703" spans="1:11" hidden="1" x14ac:dyDescent="0.2">
      <c r="A703" s="3"/>
      <c r="B703" s="3"/>
      <c r="C703" s="3"/>
      <c r="D703" s="3"/>
      <c r="E703" s="3"/>
      <c r="F703" s="3"/>
      <c r="G703" s="3"/>
      <c r="H703" s="3"/>
      <c r="I703" s="3"/>
      <c r="J703" s="3"/>
      <c r="K703" s="3"/>
    </row>
    <row r="704" spans="1:11" hidden="1" x14ac:dyDescent="0.2">
      <c r="A704" s="3"/>
      <c r="B704" s="3"/>
      <c r="C704" s="3"/>
      <c r="D704" s="3"/>
      <c r="E704" s="3"/>
      <c r="F704" s="3"/>
      <c r="G704" s="3"/>
      <c r="H704" s="3"/>
      <c r="I704" s="3"/>
      <c r="J704" s="3"/>
      <c r="K704" s="3"/>
    </row>
    <row r="705" spans="1:11" hidden="1" x14ac:dyDescent="0.2">
      <c r="A705" s="3"/>
      <c r="B705" s="3"/>
      <c r="C705" s="3"/>
      <c r="D705" s="3"/>
      <c r="E705" s="3"/>
      <c r="F705" s="3"/>
      <c r="G705" s="3"/>
      <c r="H705" s="3"/>
      <c r="I705" s="3"/>
      <c r="J705" s="3"/>
      <c r="K705" s="3"/>
    </row>
    <row r="706" spans="1:11" hidden="1" x14ac:dyDescent="0.2">
      <c r="A706" s="3"/>
      <c r="B706" s="3"/>
      <c r="C706" s="3"/>
      <c r="D706" s="3"/>
      <c r="E706" s="3"/>
      <c r="F706" s="3"/>
      <c r="G706" s="3"/>
      <c r="H706" s="3"/>
      <c r="I706" s="3"/>
      <c r="J706" s="3"/>
      <c r="K706" s="3"/>
    </row>
    <row r="707" spans="1:11" hidden="1" x14ac:dyDescent="0.2">
      <c r="A707" s="3"/>
      <c r="B707" s="3"/>
      <c r="C707" s="3"/>
      <c r="D707" s="3"/>
      <c r="E707" s="3"/>
      <c r="F707" s="3"/>
      <c r="G707" s="3"/>
      <c r="H707" s="3"/>
      <c r="I707" s="3"/>
      <c r="J707" s="3"/>
      <c r="K707" s="3"/>
    </row>
    <row r="708" spans="1:11" hidden="1" x14ac:dyDescent="0.2">
      <c r="A708" s="3"/>
      <c r="B708" s="3"/>
      <c r="C708" s="3"/>
      <c r="D708" s="3"/>
      <c r="E708" s="3"/>
      <c r="F708" s="3"/>
      <c r="G708" s="3"/>
      <c r="H708" s="3"/>
      <c r="I708" s="3"/>
      <c r="J708" s="3"/>
      <c r="K708" s="3"/>
    </row>
    <row r="709" spans="1:11" hidden="1" x14ac:dyDescent="0.2">
      <c r="A709" s="3"/>
      <c r="B709" s="3"/>
      <c r="C709" s="3"/>
      <c r="D709" s="3"/>
      <c r="E709" s="3"/>
      <c r="F709" s="3"/>
      <c r="G709" s="3"/>
      <c r="H709" s="3"/>
      <c r="I709" s="3"/>
      <c r="J709" s="3"/>
      <c r="K709" s="3"/>
    </row>
    <row r="710" spans="1:11" hidden="1" x14ac:dyDescent="0.2">
      <c r="A710" s="3"/>
      <c r="B710" s="3"/>
      <c r="C710" s="3"/>
      <c r="D710" s="3"/>
      <c r="E710" s="3"/>
      <c r="F710" s="3"/>
      <c r="G710" s="3"/>
      <c r="H710" s="3"/>
      <c r="I710" s="3"/>
      <c r="J710" s="3"/>
      <c r="K710" s="3"/>
    </row>
    <row r="711" spans="1:11" hidden="1" x14ac:dyDescent="0.2">
      <c r="A711" s="3"/>
      <c r="B711" s="3"/>
      <c r="C711" s="3"/>
      <c r="D711" s="3"/>
      <c r="E711" s="3"/>
      <c r="F711" s="3"/>
      <c r="G711" s="3"/>
      <c r="H711" s="3"/>
      <c r="I711" s="3"/>
      <c r="J711" s="3"/>
      <c r="K711" s="3"/>
    </row>
    <row r="712" spans="1:11" hidden="1" x14ac:dyDescent="0.2">
      <c r="A712" s="3"/>
      <c r="B712" s="3"/>
      <c r="C712" s="3"/>
      <c r="D712" s="3"/>
      <c r="E712" s="3"/>
      <c r="F712" s="3"/>
      <c r="G712" s="3"/>
      <c r="H712" s="3"/>
      <c r="I712" s="3"/>
      <c r="J712" s="3"/>
      <c r="K712" s="3"/>
    </row>
    <row r="713" spans="1:11" hidden="1" x14ac:dyDescent="0.2">
      <c r="A713" s="3"/>
      <c r="B713" s="3"/>
      <c r="C713" s="3"/>
      <c r="D713" s="3"/>
      <c r="E713" s="3"/>
      <c r="F713" s="3"/>
      <c r="G713" s="3"/>
      <c r="H713" s="3"/>
      <c r="I713" s="3"/>
      <c r="J713" s="3"/>
      <c r="K713" s="3"/>
    </row>
    <row r="714" spans="1:11" hidden="1" x14ac:dyDescent="0.2">
      <c r="A714" s="3"/>
      <c r="B714" s="3"/>
      <c r="C714" s="3"/>
      <c r="D714" s="3"/>
      <c r="E714" s="3"/>
      <c r="F714" s="3"/>
      <c r="G714" s="3"/>
      <c r="H714" s="3"/>
      <c r="I714" s="3"/>
      <c r="J714" s="3"/>
      <c r="K714" s="3"/>
    </row>
    <row r="715" spans="1:11" hidden="1" x14ac:dyDescent="0.2">
      <c r="A715" s="3"/>
      <c r="B715" s="3"/>
      <c r="C715" s="3"/>
      <c r="D715" s="3"/>
      <c r="E715" s="3"/>
      <c r="F715" s="3"/>
      <c r="G715" s="3"/>
      <c r="H715" s="3"/>
      <c r="I715" s="3"/>
      <c r="J715" s="3"/>
      <c r="K715" s="3"/>
    </row>
    <row r="716" spans="1:11" hidden="1" x14ac:dyDescent="0.2">
      <c r="A716" s="3"/>
      <c r="B716" s="3"/>
      <c r="C716" s="3"/>
      <c r="D716" s="3"/>
      <c r="E716" s="3"/>
      <c r="F716" s="3"/>
      <c r="G716" s="3"/>
      <c r="H716" s="3"/>
      <c r="I716" s="3"/>
      <c r="J716" s="3"/>
      <c r="K716" s="3"/>
    </row>
    <row r="717" spans="1:11" hidden="1" x14ac:dyDescent="0.2">
      <c r="A717" s="3"/>
      <c r="B717" s="3"/>
      <c r="C717" s="3"/>
      <c r="D717" s="3"/>
      <c r="E717" s="3"/>
      <c r="F717" s="3"/>
      <c r="G717" s="3"/>
      <c r="H717" s="3"/>
      <c r="I717" s="3"/>
      <c r="J717" s="3"/>
      <c r="K717" s="3"/>
    </row>
    <row r="718" spans="1:11" hidden="1" x14ac:dyDescent="0.2">
      <c r="A718" s="3"/>
      <c r="B718" s="3"/>
      <c r="C718" s="3"/>
      <c r="D718" s="3"/>
      <c r="E718" s="3"/>
      <c r="F718" s="3"/>
      <c r="G718" s="3"/>
      <c r="H718" s="3"/>
      <c r="I718" s="3"/>
      <c r="J718" s="3"/>
      <c r="K718" s="3"/>
    </row>
    <row r="719" spans="1:11" hidden="1" x14ac:dyDescent="0.2">
      <c r="A719" s="3"/>
      <c r="B719" s="3"/>
      <c r="C719" s="3"/>
      <c r="D719" s="3"/>
      <c r="E719" s="3"/>
      <c r="F719" s="3"/>
      <c r="G719" s="3"/>
      <c r="H719" s="3"/>
      <c r="I719" s="3"/>
      <c r="J719" s="3"/>
      <c r="K719" s="3"/>
    </row>
    <row r="720" spans="1:11" hidden="1" x14ac:dyDescent="0.2">
      <c r="A720" s="3"/>
      <c r="B720" s="3"/>
      <c r="C720" s="3"/>
      <c r="D720" s="3"/>
      <c r="E720" s="3"/>
      <c r="F720" s="3"/>
      <c r="G720" s="3"/>
      <c r="H720" s="3"/>
      <c r="I720" s="3"/>
      <c r="J720" s="3"/>
      <c r="K720" s="3"/>
    </row>
    <row r="721" spans="1:11" hidden="1" x14ac:dyDescent="0.2">
      <c r="A721" s="3"/>
      <c r="B721" s="3"/>
      <c r="C721" s="3"/>
      <c r="D721" s="3"/>
      <c r="E721" s="3"/>
      <c r="F721" s="3"/>
      <c r="G721" s="3"/>
      <c r="H721" s="3"/>
      <c r="I721" s="3"/>
      <c r="J721" s="3"/>
      <c r="K721" s="3"/>
    </row>
    <row r="722" spans="1:11" hidden="1" x14ac:dyDescent="0.2">
      <c r="A722" s="3"/>
      <c r="B722" s="3"/>
      <c r="C722" s="3"/>
      <c r="D722" s="3"/>
      <c r="E722" s="3"/>
      <c r="F722" s="3"/>
      <c r="G722" s="3"/>
      <c r="H722" s="3"/>
      <c r="I722" s="3"/>
      <c r="J722" s="3"/>
      <c r="K722" s="3"/>
    </row>
    <row r="723" spans="1:11" hidden="1" x14ac:dyDescent="0.2">
      <c r="A723" s="3"/>
      <c r="B723" s="3"/>
      <c r="C723" s="3"/>
      <c r="D723" s="3"/>
      <c r="E723" s="3"/>
      <c r="F723" s="3"/>
      <c r="G723" s="3"/>
      <c r="H723" s="3"/>
      <c r="I723" s="3"/>
      <c r="J723" s="3"/>
      <c r="K723" s="3"/>
    </row>
    <row r="724" spans="1:11" hidden="1" x14ac:dyDescent="0.2">
      <c r="A724" s="3"/>
      <c r="B724" s="3"/>
      <c r="C724" s="3"/>
      <c r="D724" s="3"/>
      <c r="E724" s="3"/>
      <c r="F724" s="3"/>
      <c r="G724" s="3"/>
      <c r="H724" s="3"/>
      <c r="I724" s="3"/>
      <c r="J724" s="3"/>
      <c r="K724" s="3"/>
    </row>
    <row r="725" spans="1:11" hidden="1" x14ac:dyDescent="0.2">
      <c r="A725" s="3"/>
      <c r="B725" s="3"/>
      <c r="C725" s="3"/>
      <c r="D725" s="3"/>
      <c r="E725" s="3"/>
      <c r="F725" s="3"/>
      <c r="G725" s="3"/>
      <c r="H725" s="3"/>
      <c r="I725" s="3"/>
      <c r="J725" s="3"/>
      <c r="K725" s="3"/>
    </row>
    <row r="726" spans="1:11" hidden="1" x14ac:dyDescent="0.2">
      <c r="A726" s="3"/>
      <c r="B726" s="3"/>
      <c r="C726" s="3"/>
      <c r="D726" s="3"/>
      <c r="E726" s="3"/>
      <c r="F726" s="3"/>
      <c r="G726" s="3"/>
      <c r="H726" s="3"/>
      <c r="I726" s="3"/>
      <c r="J726" s="3"/>
      <c r="K726" s="3"/>
    </row>
    <row r="727" spans="1:11" hidden="1" x14ac:dyDescent="0.2">
      <c r="A727" s="3"/>
      <c r="B727" s="3"/>
      <c r="C727" s="3"/>
      <c r="D727" s="3"/>
      <c r="E727" s="3"/>
      <c r="F727" s="3"/>
      <c r="G727" s="3"/>
      <c r="H727" s="3"/>
      <c r="I727" s="3"/>
      <c r="J727" s="3"/>
      <c r="K727" s="3"/>
    </row>
    <row r="728" spans="1:11" hidden="1" x14ac:dyDescent="0.2">
      <c r="A728" s="3"/>
      <c r="B728" s="3"/>
      <c r="C728" s="3"/>
      <c r="D728" s="3"/>
      <c r="E728" s="3"/>
      <c r="F728" s="3"/>
      <c r="G728" s="3"/>
      <c r="H728" s="3"/>
      <c r="I728" s="3"/>
      <c r="J728" s="3"/>
      <c r="K728" s="3"/>
    </row>
    <row r="729" spans="1:11" hidden="1" x14ac:dyDescent="0.2">
      <c r="A729" s="3"/>
      <c r="B729" s="3"/>
      <c r="C729" s="3"/>
      <c r="D729" s="3"/>
      <c r="E729" s="3"/>
      <c r="F729" s="3"/>
      <c r="G729" s="3"/>
      <c r="H729" s="3"/>
      <c r="I729" s="3"/>
      <c r="J729" s="3"/>
      <c r="K729" s="3"/>
    </row>
    <row r="730" spans="1:11" hidden="1" x14ac:dyDescent="0.2">
      <c r="A730" s="3"/>
      <c r="B730" s="3"/>
      <c r="C730" s="3"/>
      <c r="D730" s="3"/>
      <c r="E730" s="3"/>
      <c r="F730" s="3"/>
      <c r="G730" s="3"/>
      <c r="H730" s="3"/>
      <c r="I730" s="3"/>
      <c r="J730" s="3"/>
      <c r="K730" s="3"/>
    </row>
    <row r="731" spans="1:11" hidden="1" x14ac:dyDescent="0.2">
      <c r="A731" s="3"/>
      <c r="B731" s="3"/>
      <c r="C731" s="3"/>
      <c r="D731" s="3"/>
      <c r="E731" s="3"/>
      <c r="F731" s="3"/>
      <c r="G731" s="3"/>
      <c r="H731" s="3"/>
      <c r="I731" s="3"/>
      <c r="J731" s="3"/>
      <c r="K731" s="3"/>
    </row>
    <row r="732" spans="1:11" hidden="1" x14ac:dyDescent="0.2">
      <c r="A732" s="3"/>
      <c r="B732" s="3"/>
      <c r="C732" s="3"/>
      <c r="D732" s="3"/>
      <c r="E732" s="3"/>
      <c r="F732" s="3"/>
      <c r="G732" s="3"/>
      <c r="H732" s="3"/>
      <c r="I732" s="3"/>
      <c r="J732" s="3"/>
      <c r="K732" s="3"/>
    </row>
    <row r="733" spans="1:11" hidden="1" x14ac:dyDescent="0.2">
      <c r="A733" s="3"/>
      <c r="B733" s="3"/>
      <c r="C733" s="3"/>
      <c r="D733" s="3"/>
      <c r="E733" s="3"/>
      <c r="F733" s="3"/>
      <c r="G733" s="3"/>
      <c r="H733" s="3"/>
      <c r="I733" s="3"/>
      <c r="J733" s="3"/>
      <c r="K733" s="3"/>
    </row>
    <row r="734" spans="1:11" hidden="1" x14ac:dyDescent="0.2">
      <c r="A734" s="3"/>
      <c r="B734" s="3"/>
      <c r="C734" s="3"/>
      <c r="D734" s="3"/>
      <c r="E734" s="3"/>
      <c r="F734" s="3"/>
      <c r="G734" s="3"/>
      <c r="H734" s="3"/>
      <c r="I734" s="3"/>
      <c r="J734" s="3"/>
      <c r="K734" s="3"/>
    </row>
    <row r="735" spans="1:11" hidden="1" x14ac:dyDescent="0.2">
      <c r="A735" s="3"/>
      <c r="B735" s="3"/>
      <c r="C735" s="3"/>
      <c r="D735" s="3"/>
      <c r="E735" s="3"/>
      <c r="F735" s="3"/>
      <c r="G735" s="3"/>
      <c r="H735" s="3"/>
      <c r="I735" s="3"/>
      <c r="J735" s="3"/>
      <c r="K735" s="3"/>
    </row>
    <row r="736" spans="1:11" hidden="1" x14ac:dyDescent="0.2">
      <c r="A736" s="3"/>
      <c r="B736" s="3"/>
      <c r="C736" s="3"/>
      <c r="D736" s="3"/>
      <c r="E736" s="3"/>
      <c r="F736" s="3"/>
      <c r="G736" s="3"/>
      <c r="H736" s="3"/>
      <c r="I736" s="3"/>
      <c r="J736" s="3"/>
      <c r="K736" s="3"/>
    </row>
    <row r="737" spans="1:11" hidden="1" x14ac:dyDescent="0.2">
      <c r="A737" s="3"/>
      <c r="B737" s="3"/>
      <c r="C737" s="3"/>
      <c r="D737" s="3"/>
      <c r="E737" s="3"/>
      <c r="F737" s="3"/>
      <c r="G737" s="3"/>
      <c r="H737" s="3"/>
      <c r="I737" s="3"/>
      <c r="J737" s="3"/>
      <c r="K737" s="3"/>
    </row>
    <row r="738" spans="1:11" hidden="1" x14ac:dyDescent="0.2">
      <c r="A738" s="3"/>
      <c r="B738" s="3"/>
      <c r="C738" s="3"/>
      <c r="D738" s="3"/>
      <c r="E738" s="3"/>
      <c r="F738" s="3"/>
      <c r="G738" s="3"/>
      <c r="H738" s="3"/>
      <c r="I738" s="3"/>
      <c r="J738" s="3"/>
      <c r="K738" s="3"/>
    </row>
    <row r="739" spans="1:11" hidden="1" x14ac:dyDescent="0.2">
      <c r="A739" s="3"/>
      <c r="B739" s="3"/>
      <c r="C739" s="3"/>
      <c r="D739" s="3"/>
      <c r="E739" s="3"/>
      <c r="F739" s="3"/>
      <c r="G739" s="3"/>
      <c r="H739" s="3"/>
      <c r="I739" s="3"/>
      <c r="J739" s="3"/>
      <c r="K739" s="3"/>
    </row>
    <row r="740" spans="1:11" hidden="1" x14ac:dyDescent="0.2">
      <c r="A740" s="3"/>
      <c r="B740" s="3"/>
      <c r="C740" s="3"/>
      <c r="D740" s="3"/>
      <c r="E740" s="3"/>
      <c r="F740" s="3"/>
      <c r="G740" s="3"/>
      <c r="H740" s="3"/>
      <c r="I740" s="3"/>
      <c r="J740" s="3"/>
      <c r="K740" s="3"/>
    </row>
    <row r="741" spans="1:11" hidden="1" x14ac:dyDescent="0.2">
      <c r="A741" s="3"/>
      <c r="B741" s="3"/>
      <c r="C741" s="3"/>
      <c r="D741" s="3"/>
      <c r="E741" s="3"/>
      <c r="F741" s="3"/>
      <c r="G741" s="3"/>
      <c r="H741" s="3"/>
      <c r="I741" s="3"/>
      <c r="J741" s="3"/>
      <c r="K741" s="3"/>
    </row>
    <row r="742" spans="1:11" hidden="1" x14ac:dyDescent="0.2">
      <c r="A742" s="3"/>
      <c r="B742" s="3"/>
      <c r="C742" s="3"/>
      <c r="D742" s="3"/>
      <c r="E742" s="3"/>
      <c r="F742" s="3"/>
      <c r="G742" s="3"/>
      <c r="H742" s="3"/>
      <c r="I742" s="3"/>
      <c r="J742" s="3"/>
      <c r="K742" s="3"/>
    </row>
    <row r="743" spans="1:11" hidden="1" x14ac:dyDescent="0.2">
      <c r="A743" s="3"/>
      <c r="B743" s="3"/>
      <c r="C743" s="3"/>
      <c r="D743" s="3"/>
      <c r="E743" s="3"/>
      <c r="F743" s="3"/>
      <c r="G743" s="3"/>
      <c r="H743" s="3"/>
      <c r="I743" s="3"/>
      <c r="J743" s="3"/>
      <c r="K743" s="3"/>
    </row>
    <row r="744" spans="1:11" hidden="1" x14ac:dyDescent="0.2">
      <c r="A744" s="3"/>
      <c r="B744" s="3"/>
      <c r="C744" s="3"/>
      <c r="D744" s="3"/>
      <c r="E744" s="3"/>
      <c r="F744" s="3"/>
      <c r="G744" s="3"/>
      <c r="H744" s="3"/>
      <c r="I744" s="3"/>
      <c r="J744" s="3"/>
      <c r="K744" s="3"/>
    </row>
    <row r="745" spans="1:11" hidden="1" x14ac:dyDescent="0.2">
      <c r="A745" s="3"/>
      <c r="B745" s="3"/>
      <c r="C745" s="3"/>
      <c r="D745" s="3"/>
      <c r="E745" s="3"/>
      <c r="F745" s="3"/>
      <c r="G745" s="3"/>
      <c r="H745" s="3"/>
      <c r="I745" s="3"/>
      <c r="J745" s="3"/>
      <c r="K745" s="3"/>
    </row>
    <row r="746" spans="1:11" hidden="1" x14ac:dyDescent="0.2">
      <c r="A746" s="3"/>
      <c r="B746" s="3"/>
      <c r="C746" s="3"/>
      <c r="D746" s="3"/>
      <c r="E746" s="3"/>
      <c r="F746" s="3"/>
      <c r="G746" s="3"/>
      <c r="H746" s="3"/>
      <c r="I746" s="3"/>
      <c r="J746" s="3"/>
      <c r="K746" s="3"/>
    </row>
    <row r="747" spans="1:11" hidden="1" x14ac:dyDescent="0.2">
      <c r="A747" s="3"/>
      <c r="B747" s="3"/>
      <c r="C747" s="3"/>
      <c r="D747" s="3"/>
      <c r="E747" s="3"/>
      <c r="F747" s="3"/>
      <c r="G747" s="3"/>
      <c r="H747" s="3"/>
      <c r="I747" s="3"/>
      <c r="J747" s="3"/>
      <c r="K747" s="3"/>
    </row>
    <row r="748" spans="1:11" hidden="1" x14ac:dyDescent="0.2">
      <c r="A748" s="3"/>
      <c r="B748" s="3"/>
      <c r="C748" s="3"/>
      <c r="D748" s="3"/>
      <c r="E748" s="3"/>
      <c r="F748" s="3"/>
      <c r="G748" s="3"/>
      <c r="H748" s="3"/>
      <c r="I748" s="3"/>
      <c r="J748" s="3"/>
      <c r="K748" s="3"/>
    </row>
    <row r="749" spans="1:11" hidden="1" x14ac:dyDescent="0.2">
      <c r="A749" s="3"/>
      <c r="B749" s="3"/>
      <c r="C749" s="3"/>
      <c r="D749" s="3"/>
      <c r="E749" s="3"/>
      <c r="F749" s="3"/>
      <c r="G749" s="3"/>
      <c r="H749" s="3"/>
      <c r="I749" s="3"/>
      <c r="J749" s="3"/>
      <c r="K749" s="3"/>
    </row>
    <row r="750" spans="1:11" hidden="1" x14ac:dyDescent="0.2">
      <c r="A750" s="3"/>
      <c r="B750" s="3"/>
      <c r="C750" s="3"/>
      <c r="D750" s="3"/>
      <c r="E750" s="3"/>
      <c r="F750" s="3"/>
      <c r="G750" s="3"/>
      <c r="H750" s="3"/>
      <c r="I750" s="3"/>
      <c r="J750" s="3"/>
      <c r="K750" s="3"/>
    </row>
    <row r="751" spans="1:11" hidden="1" x14ac:dyDescent="0.2">
      <c r="A751" s="3"/>
      <c r="B751" s="3"/>
      <c r="C751" s="3"/>
      <c r="D751" s="3"/>
      <c r="E751" s="3"/>
      <c r="F751" s="3"/>
      <c r="G751" s="3"/>
      <c r="H751" s="3"/>
      <c r="I751" s="3"/>
      <c r="J751" s="3"/>
      <c r="K751" s="3"/>
    </row>
    <row r="752" spans="1:11" hidden="1" x14ac:dyDescent="0.2">
      <c r="A752" s="3"/>
      <c r="B752" s="3"/>
      <c r="C752" s="3"/>
      <c r="D752" s="3"/>
      <c r="E752" s="3"/>
      <c r="F752" s="3"/>
      <c r="G752" s="3"/>
      <c r="H752" s="3"/>
      <c r="I752" s="3"/>
      <c r="J752" s="3"/>
      <c r="K752" s="3"/>
    </row>
    <row r="753" spans="1:11" hidden="1" x14ac:dyDescent="0.2">
      <c r="A753" s="3"/>
      <c r="B753" s="3"/>
      <c r="C753" s="3"/>
      <c r="D753" s="3"/>
      <c r="E753" s="3"/>
      <c r="F753" s="3"/>
      <c r="G753" s="3"/>
      <c r="H753" s="3"/>
      <c r="I753" s="3"/>
      <c r="J753" s="3"/>
      <c r="K753" s="3"/>
    </row>
    <row r="754" spans="1:11" hidden="1" x14ac:dyDescent="0.2">
      <c r="A754" s="3"/>
      <c r="B754" s="3"/>
      <c r="C754" s="3"/>
      <c r="D754" s="3"/>
      <c r="E754" s="3"/>
      <c r="F754" s="3"/>
      <c r="G754" s="3"/>
      <c r="H754" s="3"/>
      <c r="I754" s="3"/>
      <c r="J754" s="3"/>
      <c r="K754" s="3"/>
    </row>
    <row r="755" spans="1:11" hidden="1" x14ac:dyDescent="0.2">
      <c r="A755" s="3"/>
      <c r="B755" s="3"/>
      <c r="C755" s="3"/>
      <c r="D755" s="3"/>
      <c r="E755" s="3"/>
      <c r="F755" s="3"/>
      <c r="G755" s="3"/>
      <c r="H755" s="3"/>
      <c r="I755" s="3"/>
      <c r="J755" s="3"/>
      <c r="K755" s="3"/>
    </row>
    <row r="756" spans="1:11" hidden="1" x14ac:dyDescent="0.2">
      <c r="A756" s="3"/>
      <c r="B756" s="3"/>
      <c r="C756" s="3"/>
      <c r="D756" s="3"/>
      <c r="E756" s="3"/>
      <c r="F756" s="3"/>
      <c r="G756" s="3"/>
      <c r="H756" s="3"/>
      <c r="I756" s="3"/>
      <c r="J756" s="3"/>
      <c r="K756" s="3"/>
    </row>
    <row r="757" spans="1:11" hidden="1" x14ac:dyDescent="0.2">
      <c r="A757" s="3"/>
      <c r="B757" s="3"/>
      <c r="C757" s="3"/>
      <c r="D757" s="3"/>
      <c r="E757" s="3"/>
      <c r="F757" s="3"/>
      <c r="G757" s="3"/>
      <c r="H757" s="3"/>
      <c r="I757" s="3"/>
      <c r="J757" s="3"/>
      <c r="K757" s="3"/>
    </row>
    <row r="758" spans="1:11" hidden="1" x14ac:dyDescent="0.2">
      <c r="A758" s="3"/>
      <c r="B758" s="3"/>
      <c r="C758" s="3"/>
      <c r="D758" s="3"/>
      <c r="E758" s="3"/>
      <c r="F758" s="3"/>
      <c r="G758" s="3"/>
      <c r="H758" s="3"/>
      <c r="I758" s="3"/>
      <c r="J758" s="3"/>
      <c r="K758" s="3"/>
    </row>
    <row r="759" spans="1:11" hidden="1" x14ac:dyDescent="0.2">
      <c r="A759" s="3"/>
      <c r="B759" s="3"/>
      <c r="C759" s="3"/>
      <c r="D759" s="3"/>
      <c r="E759" s="3"/>
      <c r="F759" s="3"/>
      <c r="G759" s="3"/>
      <c r="H759" s="3"/>
      <c r="I759" s="3"/>
      <c r="J759" s="3"/>
      <c r="K759" s="3"/>
    </row>
    <row r="760" spans="1:11" hidden="1" x14ac:dyDescent="0.2">
      <c r="A760" s="3"/>
      <c r="B760" s="3"/>
      <c r="C760" s="3"/>
      <c r="D760" s="3"/>
      <c r="E760" s="3"/>
      <c r="F760" s="3"/>
      <c r="G760" s="3"/>
      <c r="H760" s="3"/>
      <c r="I760" s="3"/>
      <c r="J760" s="3"/>
      <c r="K760" s="3"/>
    </row>
    <row r="761" spans="1:11" hidden="1" x14ac:dyDescent="0.2">
      <c r="A761" s="3"/>
      <c r="B761" s="3"/>
      <c r="C761" s="3"/>
      <c r="D761" s="3"/>
      <c r="E761" s="3"/>
      <c r="F761" s="3"/>
      <c r="G761" s="3"/>
      <c r="H761" s="3"/>
      <c r="I761" s="3"/>
      <c r="J761" s="3"/>
      <c r="K761" s="3"/>
    </row>
    <row r="762" spans="1:11" hidden="1" x14ac:dyDescent="0.2">
      <c r="A762" s="3"/>
      <c r="B762" s="3"/>
      <c r="C762" s="3"/>
      <c r="D762" s="3"/>
      <c r="E762" s="3"/>
      <c r="F762" s="3"/>
      <c r="G762" s="3"/>
      <c r="H762" s="3"/>
      <c r="I762" s="3"/>
      <c r="J762" s="3"/>
      <c r="K762" s="3"/>
    </row>
    <row r="763" spans="1:11" hidden="1" x14ac:dyDescent="0.2">
      <c r="A763" s="3"/>
      <c r="B763" s="3"/>
      <c r="C763" s="3"/>
      <c r="D763" s="3"/>
      <c r="E763" s="3"/>
      <c r="F763" s="3"/>
      <c r="G763" s="3"/>
      <c r="H763" s="3"/>
      <c r="I763" s="3"/>
      <c r="J763" s="3"/>
      <c r="K763" s="3"/>
    </row>
    <row r="764" spans="1:11" hidden="1" x14ac:dyDescent="0.2">
      <c r="A764" s="3"/>
      <c r="B764" s="3"/>
      <c r="C764" s="3"/>
      <c r="D764" s="3"/>
      <c r="E764" s="3"/>
      <c r="F764" s="3"/>
      <c r="G764" s="3"/>
      <c r="H764" s="3"/>
      <c r="I764" s="3"/>
      <c r="J764" s="3"/>
      <c r="K764" s="3"/>
    </row>
    <row r="765" spans="1:11" hidden="1" x14ac:dyDescent="0.2">
      <c r="A765" s="3"/>
      <c r="B765" s="3"/>
      <c r="C765" s="3"/>
      <c r="D765" s="3"/>
      <c r="E765" s="3"/>
      <c r="F765" s="3"/>
      <c r="G765" s="3"/>
      <c r="H765" s="3"/>
      <c r="I765" s="3"/>
      <c r="J765" s="3"/>
      <c r="K765" s="3"/>
    </row>
    <row r="766" spans="1:11" hidden="1" x14ac:dyDescent="0.2">
      <c r="A766" s="3"/>
      <c r="B766" s="3"/>
      <c r="C766" s="3"/>
      <c r="D766" s="3"/>
      <c r="E766" s="3"/>
      <c r="F766" s="3"/>
      <c r="G766" s="3"/>
      <c r="H766" s="3"/>
      <c r="I766" s="3"/>
      <c r="J766" s="3"/>
      <c r="K766" s="3"/>
    </row>
    <row r="767" spans="1:11" hidden="1" x14ac:dyDescent="0.2">
      <c r="A767" s="3"/>
      <c r="B767" s="3"/>
      <c r="C767" s="3"/>
      <c r="D767" s="3"/>
      <c r="E767" s="3"/>
      <c r="F767" s="3"/>
      <c r="G767" s="3"/>
      <c r="H767" s="3"/>
      <c r="I767" s="3"/>
      <c r="J767" s="3"/>
      <c r="K767" s="3"/>
    </row>
    <row r="768" spans="1:11" hidden="1" x14ac:dyDescent="0.2">
      <c r="A768" s="3"/>
      <c r="B768" s="3"/>
      <c r="C768" s="3"/>
      <c r="D768" s="3"/>
      <c r="E768" s="3"/>
      <c r="F768" s="3"/>
      <c r="G768" s="3"/>
      <c r="H768" s="3"/>
      <c r="I768" s="3"/>
      <c r="J768" s="3"/>
      <c r="K768" s="3"/>
    </row>
    <row r="769" spans="1:11" hidden="1" x14ac:dyDescent="0.2">
      <c r="A769" s="3"/>
      <c r="B769" s="3"/>
      <c r="C769" s="3"/>
      <c r="D769" s="3"/>
      <c r="E769" s="3"/>
      <c r="F769" s="3"/>
      <c r="G769" s="3"/>
      <c r="H769" s="3"/>
      <c r="I769" s="3"/>
      <c r="J769" s="3"/>
      <c r="K769" s="3"/>
    </row>
    <row r="770" spans="1:11" hidden="1" x14ac:dyDescent="0.2">
      <c r="A770" s="3"/>
      <c r="B770" s="3"/>
      <c r="C770" s="3"/>
      <c r="D770" s="3"/>
      <c r="E770" s="3"/>
      <c r="F770" s="3"/>
      <c r="G770" s="3"/>
      <c r="H770" s="3"/>
      <c r="I770" s="3"/>
      <c r="J770" s="3"/>
      <c r="K770" s="3"/>
    </row>
    <row r="771" spans="1:11" hidden="1" x14ac:dyDescent="0.2">
      <c r="A771" s="3"/>
      <c r="B771" s="3"/>
      <c r="C771" s="3"/>
      <c r="D771" s="3"/>
      <c r="E771" s="3"/>
      <c r="F771" s="3"/>
      <c r="G771" s="3"/>
      <c r="H771" s="3"/>
      <c r="I771" s="3"/>
      <c r="J771" s="3"/>
      <c r="K771" s="3"/>
    </row>
    <row r="772" spans="1:11" hidden="1" x14ac:dyDescent="0.2">
      <c r="A772" s="3"/>
      <c r="B772" s="3"/>
      <c r="C772" s="3"/>
      <c r="D772" s="3"/>
      <c r="E772" s="3"/>
      <c r="F772" s="3"/>
      <c r="G772" s="3"/>
      <c r="H772" s="3"/>
      <c r="I772" s="3"/>
      <c r="J772" s="3"/>
      <c r="K772" s="3"/>
    </row>
    <row r="773" spans="1:11" hidden="1" x14ac:dyDescent="0.2">
      <c r="A773" s="3"/>
      <c r="B773" s="3"/>
      <c r="C773" s="3"/>
      <c r="D773" s="3"/>
      <c r="E773" s="3"/>
      <c r="F773" s="3"/>
      <c r="G773" s="3"/>
      <c r="H773" s="3"/>
      <c r="I773" s="3"/>
      <c r="J773" s="3"/>
      <c r="K773" s="3"/>
    </row>
    <row r="774" spans="1:11" hidden="1" x14ac:dyDescent="0.2">
      <c r="A774" s="3"/>
      <c r="B774" s="3"/>
      <c r="C774" s="3"/>
      <c r="D774" s="3"/>
      <c r="E774" s="3"/>
      <c r="F774" s="3"/>
      <c r="G774" s="3"/>
      <c r="H774" s="3"/>
      <c r="I774" s="3"/>
      <c r="J774" s="3"/>
      <c r="K774" s="3"/>
    </row>
    <row r="775" spans="1:11" hidden="1" x14ac:dyDescent="0.2">
      <c r="A775" s="3"/>
      <c r="B775" s="3"/>
      <c r="C775" s="3"/>
      <c r="D775" s="3"/>
      <c r="E775" s="3"/>
      <c r="F775" s="3"/>
      <c r="G775" s="3"/>
      <c r="H775" s="3"/>
      <c r="I775" s="3"/>
      <c r="J775" s="3"/>
      <c r="K775" s="3"/>
    </row>
    <row r="776" spans="1:11" hidden="1" x14ac:dyDescent="0.2">
      <c r="A776" s="3"/>
      <c r="B776" s="3"/>
      <c r="C776" s="3"/>
      <c r="D776" s="3"/>
      <c r="E776" s="3"/>
      <c r="F776" s="3"/>
      <c r="G776" s="3"/>
      <c r="H776" s="3"/>
      <c r="I776" s="3"/>
      <c r="J776" s="3"/>
      <c r="K776" s="3"/>
    </row>
    <row r="777" spans="1:11" hidden="1" x14ac:dyDescent="0.2">
      <c r="A777" s="3"/>
      <c r="B777" s="3"/>
      <c r="C777" s="3"/>
      <c r="D777" s="3"/>
      <c r="E777" s="3"/>
      <c r="F777" s="3"/>
      <c r="G777" s="3"/>
      <c r="H777" s="3"/>
      <c r="I777" s="3"/>
      <c r="J777" s="3"/>
      <c r="K777" s="3"/>
    </row>
    <row r="778" spans="1:11" hidden="1" x14ac:dyDescent="0.2">
      <c r="A778" s="3"/>
      <c r="B778" s="3"/>
      <c r="C778" s="3"/>
      <c r="D778" s="3"/>
      <c r="E778" s="3"/>
      <c r="F778" s="3"/>
      <c r="G778" s="3"/>
      <c r="H778" s="3"/>
      <c r="I778" s="3"/>
      <c r="J778" s="3"/>
      <c r="K778" s="3"/>
    </row>
    <row r="779" spans="1:11" hidden="1" x14ac:dyDescent="0.2">
      <c r="A779" s="3"/>
      <c r="B779" s="3"/>
      <c r="C779" s="3"/>
      <c r="D779" s="3"/>
      <c r="E779" s="3"/>
      <c r="F779" s="3"/>
      <c r="G779" s="3"/>
      <c r="H779" s="3"/>
      <c r="I779" s="3"/>
      <c r="J779" s="3"/>
      <c r="K779" s="3"/>
    </row>
    <row r="780" spans="1:11" hidden="1" x14ac:dyDescent="0.2">
      <c r="A780" s="3"/>
      <c r="B780" s="3"/>
      <c r="C780" s="3"/>
      <c r="D780" s="3"/>
      <c r="E780" s="3"/>
      <c r="F780" s="3"/>
      <c r="G780" s="3"/>
      <c r="H780" s="3"/>
      <c r="I780" s="3"/>
      <c r="J780" s="3"/>
      <c r="K780" s="3"/>
    </row>
    <row r="781" spans="1:11" hidden="1" x14ac:dyDescent="0.2">
      <c r="A781" s="3"/>
      <c r="B781" s="3"/>
      <c r="C781" s="3"/>
      <c r="D781" s="3"/>
      <c r="E781" s="3"/>
      <c r="F781" s="3"/>
      <c r="G781" s="3"/>
      <c r="H781" s="3"/>
      <c r="I781" s="3"/>
      <c r="J781" s="3"/>
      <c r="K781" s="3"/>
    </row>
    <row r="782" spans="1:11" hidden="1" x14ac:dyDescent="0.2">
      <c r="A782" s="3"/>
      <c r="B782" s="3"/>
      <c r="C782" s="3"/>
      <c r="D782" s="3"/>
      <c r="E782" s="3"/>
      <c r="F782" s="3"/>
      <c r="G782" s="3"/>
      <c r="H782" s="3"/>
      <c r="I782" s="3"/>
      <c r="J782" s="3"/>
      <c r="K782" s="3"/>
    </row>
    <row r="783" spans="1:11" hidden="1" x14ac:dyDescent="0.2">
      <c r="A783" s="3"/>
      <c r="B783" s="3"/>
      <c r="C783" s="3"/>
      <c r="D783" s="3"/>
      <c r="E783" s="3"/>
      <c r="F783" s="3"/>
      <c r="G783" s="3"/>
      <c r="H783" s="3"/>
      <c r="I783" s="3"/>
      <c r="J783" s="3"/>
      <c r="K783" s="3"/>
    </row>
    <row r="784" spans="1:11" hidden="1" x14ac:dyDescent="0.2">
      <c r="A784" s="3"/>
      <c r="B784" s="3"/>
      <c r="C784" s="3"/>
      <c r="D784" s="3"/>
      <c r="E784" s="3"/>
      <c r="F784" s="3"/>
      <c r="G784" s="3"/>
      <c r="H784" s="3"/>
      <c r="I784" s="3"/>
      <c r="J784" s="3"/>
      <c r="K784" s="3"/>
    </row>
    <row r="785" spans="1:11" hidden="1" x14ac:dyDescent="0.2">
      <c r="A785" s="3"/>
      <c r="B785" s="3"/>
      <c r="C785" s="3"/>
      <c r="D785" s="3"/>
      <c r="E785" s="3"/>
      <c r="F785" s="3"/>
      <c r="G785" s="3"/>
      <c r="H785" s="3"/>
      <c r="I785" s="3"/>
      <c r="J785" s="3"/>
      <c r="K785" s="3"/>
    </row>
    <row r="786" spans="1:11" hidden="1" x14ac:dyDescent="0.2">
      <c r="A786" s="3"/>
      <c r="B786" s="3"/>
      <c r="C786" s="3"/>
      <c r="D786" s="3"/>
      <c r="E786" s="3"/>
      <c r="F786" s="3"/>
      <c r="G786" s="3"/>
      <c r="H786" s="3"/>
      <c r="I786" s="3"/>
      <c r="J786" s="3"/>
      <c r="K786" s="3"/>
    </row>
    <row r="787" spans="1:11" hidden="1" x14ac:dyDescent="0.2">
      <c r="A787" s="3"/>
      <c r="B787" s="3"/>
      <c r="C787" s="3"/>
      <c r="D787" s="3"/>
      <c r="E787" s="3"/>
      <c r="F787" s="3"/>
      <c r="G787" s="3"/>
      <c r="H787" s="3"/>
      <c r="I787" s="3"/>
      <c r="J787" s="3"/>
      <c r="K787" s="3"/>
    </row>
    <row r="788" spans="1:11" hidden="1" x14ac:dyDescent="0.2">
      <c r="A788" s="3"/>
      <c r="B788" s="3"/>
      <c r="C788" s="3"/>
      <c r="D788" s="3"/>
      <c r="E788" s="3"/>
      <c r="F788" s="3"/>
      <c r="G788" s="3"/>
      <c r="H788" s="3"/>
      <c r="I788" s="3"/>
      <c r="J788" s="3"/>
      <c r="K788" s="3"/>
    </row>
    <row r="789" spans="1:11" hidden="1" x14ac:dyDescent="0.2">
      <c r="A789" s="3"/>
      <c r="B789" s="3"/>
      <c r="C789" s="3"/>
      <c r="D789" s="3"/>
      <c r="E789" s="3"/>
      <c r="F789" s="3"/>
      <c r="G789" s="3"/>
      <c r="H789" s="3"/>
      <c r="I789" s="3"/>
      <c r="J789" s="3"/>
      <c r="K789" s="3"/>
    </row>
    <row r="790" spans="1:11" hidden="1" x14ac:dyDescent="0.2">
      <c r="A790" s="3"/>
      <c r="B790" s="3"/>
      <c r="C790" s="3"/>
      <c r="D790" s="3"/>
      <c r="E790" s="3"/>
      <c r="F790" s="3"/>
      <c r="G790" s="3"/>
      <c r="H790" s="3"/>
      <c r="I790" s="3"/>
      <c r="J790" s="3"/>
      <c r="K790" s="3"/>
    </row>
    <row r="791" spans="1:11" hidden="1" x14ac:dyDescent="0.2">
      <c r="A791" s="3"/>
      <c r="B791" s="3"/>
      <c r="C791" s="3"/>
      <c r="D791" s="3"/>
      <c r="E791" s="3"/>
      <c r="F791" s="3"/>
      <c r="G791" s="3"/>
      <c r="H791" s="3"/>
      <c r="I791" s="3"/>
      <c r="J791" s="3"/>
      <c r="K791" s="3"/>
    </row>
    <row r="792" spans="1:11" hidden="1" x14ac:dyDescent="0.2">
      <c r="A792" s="3"/>
      <c r="B792" s="3"/>
      <c r="C792" s="3"/>
      <c r="D792" s="3"/>
      <c r="E792" s="3"/>
      <c r="F792" s="3"/>
      <c r="G792" s="3"/>
      <c r="H792" s="3"/>
      <c r="I792" s="3"/>
      <c r="J792" s="3"/>
      <c r="K792" s="3"/>
    </row>
    <row r="793" spans="1:11" hidden="1" x14ac:dyDescent="0.2">
      <c r="A793" s="3"/>
      <c r="B793" s="3"/>
      <c r="C793" s="3"/>
      <c r="D793" s="3"/>
      <c r="E793" s="3"/>
      <c r="F793" s="3"/>
      <c r="G793" s="3"/>
      <c r="H793" s="3"/>
      <c r="I793" s="3"/>
      <c r="J793" s="3"/>
      <c r="K793" s="3"/>
    </row>
    <row r="794" spans="1:11" hidden="1" x14ac:dyDescent="0.2">
      <c r="A794" s="3"/>
      <c r="B794" s="3"/>
      <c r="C794" s="3"/>
      <c r="D794" s="3"/>
      <c r="E794" s="3"/>
      <c r="F794" s="3"/>
      <c r="G794" s="3"/>
      <c r="H794" s="3"/>
      <c r="I794" s="3"/>
      <c r="J794" s="3"/>
      <c r="K794" s="3"/>
    </row>
    <row r="795" spans="1:11" hidden="1" x14ac:dyDescent="0.2">
      <c r="A795" s="3"/>
      <c r="B795" s="3"/>
      <c r="C795" s="3"/>
      <c r="D795" s="3"/>
      <c r="E795" s="3"/>
      <c r="F795" s="3"/>
      <c r="G795" s="3"/>
      <c r="H795" s="3"/>
      <c r="I795" s="3"/>
      <c r="J795" s="3"/>
      <c r="K795" s="3"/>
    </row>
    <row r="796" spans="1:11" hidden="1" x14ac:dyDescent="0.2">
      <c r="A796" s="3"/>
      <c r="B796" s="3"/>
      <c r="C796" s="3"/>
      <c r="D796" s="3"/>
      <c r="E796" s="3"/>
      <c r="F796" s="3"/>
      <c r="G796" s="3"/>
      <c r="H796" s="3"/>
      <c r="I796" s="3"/>
      <c r="J796" s="3"/>
      <c r="K796" s="3"/>
    </row>
    <row r="797" spans="1:11" hidden="1" x14ac:dyDescent="0.2">
      <c r="A797" s="3"/>
      <c r="B797" s="3"/>
      <c r="C797" s="3"/>
      <c r="D797" s="3"/>
      <c r="E797" s="3"/>
      <c r="F797" s="3"/>
      <c r="G797" s="3"/>
      <c r="H797" s="3"/>
      <c r="I797" s="3"/>
      <c r="J797" s="3"/>
      <c r="K797" s="3"/>
    </row>
    <row r="798" spans="1:11" hidden="1" x14ac:dyDescent="0.2">
      <c r="A798" s="3"/>
      <c r="B798" s="3"/>
      <c r="C798" s="3"/>
      <c r="D798" s="3"/>
      <c r="E798" s="3"/>
      <c r="F798" s="3"/>
      <c r="G798" s="3"/>
      <c r="H798" s="3"/>
      <c r="I798" s="3"/>
      <c r="J798" s="3"/>
      <c r="K798" s="3"/>
    </row>
    <row r="799" spans="1:11" hidden="1" x14ac:dyDescent="0.2">
      <c r="A799" s="3"/>
      <c r="B799" s="3"/>
      <c r="C799" s="3"/>
      <c r="D799" s="3"/>
      <c r="E799" s="3"/>
      <c r="F799" s="3"/>
      <c r="G799" s="3"/>
      <c r="H799" s="3"/>
      <c r="I799" s="3"/>
      <c r="J799" s="3"/>
      <c r="K799" s="3"/>
    </row>
    <row r="800" spans="1:11" hidden="1" x14ac:dyDescent="0.2">
      <c r="A800" s="3"/>
      <c r="B800" s="3"/>
      <c r="C800" s="3"/>
      <c r="D800" s="3"/>
      <c r="E800" s="3"/>
      <c r="F800" s="3"/>
      <c r="G800" s="3"/>
      <c r="H800" s="3"/>
      <c r="I800" s="3"/>
      <c r="J800" s="3"/>
      <c r="K800" s="3"/>
    </row>
    <row r="801" spans="1:11" hidden="1" x14ac:dyDescent="0.2">
      <c r="A801" s="3"/>
      <c r="B801" s="3"/>
      <c r="C801" s="3"/>
      <c r="D801" s="3"/>
      <c r="E801" s="3"/>
      <c r="F801" s="3"/>
      <c r="G801" s="3"/>
      <c r="H801" s="3"/>
      <c r="I801" s="3"/>
      <c r="J801" s="3"/>
      <c r="K801" s="3"/>
    </row>
    <row r="802" spans="1:11" hidden="1" x14ac:dyDescent="0.2">
      <c r="A802" s="3"/>
      <c r="B802" s="3"/>
      <c r="C802" s="3"/>
      <c r="D802" s="3"/>
      <c r="E802" s="3"/>
      <c r="F802" s="3"/>
      <c r="G802" s="3"/>
      <c r="H802" s="3"/>
      <c r="I802" s="3"/>
      <c r="J802" s="3"/>
      <c r="K802" s="3"/>
    </row>
    <row r="803" spans="1:11" hidden="1" x14ac:dyDescent="0.2">
      <c r="A803" s="3"/>
      <c r="B803" s="3"/>
      <c r="C803" s="3"/>
      <c r="D803" s="3"/>
      <c r="E803" s="3"/>
      <c r="F803" s="3"/>
      <c r="G803" s="3"/>
      <c r="H803" s="3"/>
      <c r="I803" s="3"/>
      <c r="J803" s="3"/>
      <c r="K803" s="3"/>
    </row>
    <row r="804" spans="1:11" hidden="1" x14ac:dyDescent="0.2">
      <c r="A804" s="3"/>
      <c r="B804" s="3"/>
      <c r="C804" s="3"/>
      <c r="D804" s="3"/>
      <c r="E804" s="3"/>
      <c r="F804" s="3"/>
      <c r="G804" s="3"/>
      <c r="H804" s="3"/>
      <c r="I804" s="3"/>
      <c r="J804" s="3"/>
      <c r="K804" s="3"/>
    </row>
    <row r="805" spans="1:11" hidden="1" x14ac:dyDescent="0.2">
      <c r="A805" s="3"/>
      <c r="B805" s="3"/>
      <c r="C805" s="3"/>
      <c r="D805" s="3"/>
      <c r="E805" s="3"/>
      <c r="F805" s="3"/>
      <c r="G805" s="3"/>
      <c r="H805" s="3"/>
      <c r="I805" s="3"/>
      <c r="J805" s="3"/>
      <c r="K805" s="3"/>
    </row>
    <row r="806" spans="1:11" hidden="1" x14ac:dyDescent="0.2">
      <c r="A806" s="3"/>
      <c r="B806" s="3"/>
      <c r="C806" s="3"/>
      <c r="D806" s="3"/>
      <c r="E806" s="3"/>
      <c r="F806" s="3"/>
      <c r="G806" s="3"/>
      <c r="H806" s="3"/>
      <c r="I806" s="3"/>
      <c r="J806" s="3"/>
      <c r="K806" s="3"/>
    </row>
    <row r="807" spans="1:11" hidden="1" x14ac:dyDescent="0.2">
      <c r="A807" s="3"/>
      <c r="B807" s="3"/>
      <c r="C807" s="3"/>
      <c r="D807" s="3"/>
      <c r="E807" s="3"/>
      <c r="F807" s="3"/>
      <c r="G807" s="3"/>
      <c r="H807" s="3"/>
      <c r="I807" s="3"/>
      <c r="J807" s="3"/>
      <c r="K807" s="3"/>
    </row>
    <row r="808" spans="1:11" hidden="1" x14ac:dyDescent="0.2">
      <c r="A808" s="3"/>
      <c r="B808" s="3"/>
      <c r="C808" s="3"/>
      <c r="D808" s="3"/>
      <c r="E808" s="3"/>
      <c r="F808" s="3"/>
      <c r="G808" s="3"/>
      <c r="H808" s="3"/>
      <c r="I808" s="3"/>
      <c r="J808" s="3"/>
      <c r="K808" s="3"/>
    </row>
    <row r="809" spans="1:11" hidden="1" x14ac:dyDescent="0.2">
      <c r="A809" s="3"/>
      <c r="B809" s="3"/>
      <c r="C809" s="3"/>
      <c r="D809" s="3"/>
      <c r="E809" s="3"/>
      <c r="F809" s="3"/>
      <c r="G809" s="3"/>
      <c r="H809" s="3"/>
      <c r="I809" s="3"/>
      <c r="J809" s="3"/>
      <c r="K809" s="3"/>
    </row>
    <row r="810" spans="1:11" hidden="1" x14ac:dyDescent="0.2">
      <c r="A810" s="3"/>
      <c r="B810" s="3"/>
      <c r="C810" s="3"/>
      <c r="D810" s="3"/>
      <c r="E810" s="3"/>
      <c r="F810" s="3"/>
      <c r="G810" s="3"/>
      <c r="H810" s="3"/>
      <c r="I810" s="3"/>
      <c r="J810" s="3"/>
      <c r="K810" s="3"/>
    </row>
    <row r="811" spans="1:11" hidden="1" x14ac:dyDescent="0.2">
      <c r="A811" s="3"/>
      <c r="B811" s="3"/>
      <c r="C811" s="3"/>
      <c r="D811" s="3"/>
      <c r="E811" s="3"/>
      <c r="F811" s="3"/>
      <c r="G811" s="3"/>
      <c r="H811" s="3"/>
      <c r="I811" s="3"/>
      <c r="J811" s="3"/>
      <c r="K811" s="3"/>
    </row>
    <row r="812" spans="1:11" hidden="1" x14ac:dyDescent="0.2">
      <c r="A812" s="3"/>
      <c r="B812" s="3"/>
      <c r="C812" s="3"/>
      <c r="D812" s="3"/>
      <c r="E812" s="3"/>
      <c r="F812" s="3"/>
      <c r="G812" s="3"/>
      <c r="H812" s="3"/>
      <c r="I812" s="3"/>
      <c r="J812" s="3"/>
      <c r="K812" s="3"/>
    </row>
    <row r="813" spans="1:11" hidden="1" x14ac:dyDescent="0.2">
      <c r="A813" s="3"/>
      <c r="B813" s="3"/>
      <c r="C813" s="3"/>
      <c r="D813" s="3"/>
      <c r="E813" s="3"/>
      <c r="F813" s="3"/>
      <c r="G813" s="3"/>
      <c r="H813" s="3"/>
      <c r="I813" s="3"/>
      <c r="J813" s="3"/>
      <c r="K813" s="3"/>
    </row>
    <row r="814" spans="1:11" hidden="1" x14ac:dyDescent="0.2">
      <c r="A814" s="3"/>
      <c r="B814" s="3"/>
      <c r="C814" s="3"/>
      <c r="D814" s="3"/>
      <c r="E814" s="3"/>
      <c r="F814" s="3"/>
      <c r="G814" s="3"/>
      <c r="H814" s="3"/>
      <c r="I814" s="3"/>
      <c r="J814" s="3"/>
      <c r="K814" s="3"/>
    </row>
    <row r="815" spans="1:11" hidden="1" x14ac:dyDescent="0.2">
      <c r="A815" s="3"/>
      <c r="B815" s="3"/>
      <c r="C815" s="3"/>
      <c r="D815" s="3"/>
      <c r="E815" s="3"/>
      <c r="F815" s="3"/>
      <c r="G815" s="3"/>
      <c r="H815" s="3"/>
      <c r="I815" s="3"/>
      <c r="J815" s="3"/>
      <c r="K815" s="3"/>
    </row>
    <row r="816" spans="1:11" hidden="1" x14ac:dyDescent="0.2">
      <c r="A816" s="3"/>
      <c r="B816" s="3"/>
      <c r="C816" s="3"/>
      <c r="D816" s="3"/>
      <c r="E816" s="3"/>
      <c r="F816" s="3"/>
      <c r="G816" s="3"/>
      <c r="H816" s="3"/>
      <c r="I816" s="3"/>
      <c r="J816" s="3"/>
      <c r="K816" s="3"/>
    </row>
    <row r="817" spans="1:11" hidden="1" x14ac:dyDescent="0.2">
      <c r="A817" s="3"/>
      <c r="B817" s="3"/>
      <c r="C817" s="3"/>
      <c r="D817" s="3"/>
      <c r="E817" s="3"/>
      <c r="F817" s="3"/>
      <c r="G817" s="3"/>
      <c r="H817" s="3"/>
      <c r="I817" s="3"/>
      <c r="J817" s="3"/>
      <c r="K817" s="3"/>
    </row>
    <row r="818" spans="1:11" hidden="1" x14ac:dyDescent="0.2">
      <c r="A818" s="3"/>
      <c r="B818" s="3"/>
      <c r="C818" s="3"/>
      <c r="D818" s="3"/>
      <c r="E818" s="3"/>
      <c r="F818" s="3"/>
      <c r="G818" s="3"/>
      <c r="H818" s="3"/>
      <c r="I818" s="3"/>
      <c r="J818" s="3"/>
      <c r="K818" s="3"/>
    </row>
    <row r="819" spans="1:11" hidden="1" x14ac:dyDescent="0.2">
      <c r="A819" s="3"/>
      <c r="B819" s="3"/>
      <c r="C819" s="3"/>
      <c r="D819" s="3"/>
      <c r="E819" s="3"/>
      <c r="F819" s="3"/>
      <c r="G819" s="3"/>
      <c r="H819" s="3"/>
      <c r="I819" s="3"/>
      <c r="J819" s="3"/>
      <c r="K819" s="3"/>
    </row>
    <row r="820" spans="1:11" hidden="1" x14ac:dyDescent="0.2">
      <c r="A820" s="3"/>
      <c r="B820" s="3"/>
      <c r="C820" s="3"/>
      <c r="D820" s="3"/>
      <c r="E820" s="3"/>
      <c r="F820" s="3"/>
      <c r="G820" s="3"/>
      <c r="H820" s="3"/>
      <c r="I820" s="3"/>
      <c r="J820" s="3"/>
      <c r="K820" s="3"/>
    </row>
    <row r="821" spans="1:11" hidden="1" x14ac:dyDescent="0.2">
      <c r="A821" s="3"/>
      <c r="B821" s="3"/>
      <c r="C821" s="3"/>
      <c r="D821" s="3"/>
      <c r="E821" s="3"/>
      <c r="F821" s="3"/>
      <c r="G821" s="3"/>
      <c r="H821" s="3"/>
      <c r="I821" s="3"/>
      <c r="J821" s="3"/>
      <c r="K821" s="3"/>
    </row>
    <row r="822" spans="1:11" hidden="1" x14ac:dyDescent="0.2">
      <c r="A822" s="3"/>
      <c r="B822" s="3"/>
      <c r="C822" s="3"/>
      <c r="D822" s="3"/>
      <c r="E822" s="3"/>
      <c r="F822" s="3"/>
      <c r="G822" s="3"/>
      <c r="H822" s="3"/>
      <c r="I822" s="3"/>
      <c r="J822" s="3"/>
      <c r="K822" s="3"/>
    </row>
    <row r="823" spans="1:11" hidden="1" x14ac:dyDescent="0.2">
      <c r="A823" s="3"/>
      <c r="B823" s="3"/>
      <c r="C823" s="3"/>
      <c r="D823" s="3"/>
      <c r="E823" s="3"/>
      <c r="F823" s="3"/>
      <c r="G823" s="3"/>
      <c r="H823" s="3"/>
      <c r="I823" s="3"/>
      <c r="J823" s="3"/>
      <c r="K823" s="3"/>
    </row>
    <row r="824" spans="1:11" hidden="1" x14ac:dyDescent="0.2">
      <c r="A824" s="3"/>
      <c r="B824" s="3"/>
      <c r="C824" s="3"/>
      <c r="D824" s="3"/>
      <c r="E824" s="3"/>
      <c r="F824" s="3"/>
      <c r="G824" s="3"/>
      <c r="H824" s="3"/>
      <c r="I824" s="3"/>
      <c r="J824" s="3"/>
      <c r="K824" s="3"/>
    </row>
    <row r="825" spans="1:11" hidden="1" x14ac:dyDescent="0.2">
      <c r="A825" s="3"/>
      <c r="B825" s="3"/>
      <c r="C825" s="3"/>
      <c r="D825" s="3"/>
      <c r="E825" s="3"/>
      <c r="F825" s="3"/>
      <c r="G825" s="3"/>
      <c r="H825" s="3"/>
      <c r="I825" s="3"/>
      <c r="J825" s="3"/>
      <c r="K825" s="3"/>
    </row>
    <row r="826" spans="1:11" hidden="1" x14ac:dyDescent="0.2">
      <c r="A826" s="3"/>
      <c r="B826" s="3"/>
      <c r="C826" s="3"/>
      <c r="D826" s="3"/>
      <c r="E826" s="3"/>
      <c r="F826" s="3"/>
      <c r="G826" s="3"/>
      <c r="H826" s="3"/>
      <c r="I826" s="3"/>
      <c r="J826" s="3"/>
      <c r="K826" s="3"/>
    </row>
    <row r="827" spans="1:11" hidden="1" x14ac:dyDescent="0.2">
      <c r="A827" s="3"/>
      <c r="B827" s="3"/>
      <c r="C827" s="3"/>
      <c r="D827" s="3"/>
      <c r="E827" s="3"/>
      <c r="F827" s="3"/>
      <c r="G827" s="3"/>
      <c r="H827" s="3"/>
      <c r="I827" s="3"/>
      <c r="J827" s="3"/>
      <c r="K827" s="3"/>
    </row>
    <row r="828" spans="1:11" hidden="1" x14ac:dyDescent="0.2">
      <c r="A828" s="3"/>
      <c r="B828" s="3"/>
      <c r="C828" s="3"/>
      <c r="D828" s="3"/>
      <c r="E828" s="3"/>
      <c r="F828" s="3"/>
      <c r="G828" s="3"/>
      <c r="H828" s="3"/>
      <c r="I828" s="3"/>
      <c r="J828" s="3"/>
      <c r="K828" s="3"/>
    </row>
    <row r="829" spans="1:11" hidden="1" x14ac:dyDescent="0.2">
      <c r="A829" s="3"/>
      <c r="B829" s="3"/>
      <c r="C829" s="3"/>
      <c r="D829" s="3"/>
      <c r="E829" s="3"/>
      <c r="F829" s="3"/>
      <c r="G829" s="3"/>
      <c r="H829" s="3"/>
      <c r="I829" s="3"/>
      <c r="J829" s="3"/>
      <c r="K829" s="3"/>
    </row>
    <row r="830" spans="1:11" hidden="1" x14ac:dyDescent="0.2">
      <c r="A830" s="3"/>
      <c r="B830" s="3"/>
      <c r="C830" s="3"/>
      <c r="D830" s="3"/>
      <c r="E830" s="3"/>
      <c r="F830" s="3"/>
      <c r="G830" s="3"/>
      <c r="H830" s="3"/>
      <c r="I830" s="3"/>
      <c r="J830" s="3"/>
      <c r="K830" s="3"/>
    </row>
    <row r="831" spans="1:11" hidden="1" x14ac:dyDescent="0.2">
      <c r="A831" s="3"/>
      <c r="B831" s="3"/>
      <c r="C831" s="3"/>
      <c r="D831" s="3"/>
      <c r="E831" s="3"/>
      <c r="F831" s="3"/>
      <c r="G831" s="3"/>
      <c r="H831" s="3"/>
      <c r="I831" s="3"/>
      <c r="J831" s="3"/>
      <c r="K831" s="3"/>
    </row>
    <row r="832" spans="1:11" hidden="1" x14ac:dyDescent="0.2">
      <c r="A832" s="3"/>
      <c r="B832" s="3"/>
      <c r="C832" s="3"/>
      <c r="D832" s="3"/>
      <c r="E832" s="3"/>
      <c r="F832" s="3"/>
      <c r="G832" s="3"/>
      <c r="H832" s="3"/>
      <c r="I832" s="3"/>
      <c r="J832" s="3"/>
      <c r="K832" s="3"/>
    </row>
    <row r="833" spans="1:11" hidden="1" x14ac:dyDescent="0.2">
      <c r="A833" s="3"/>
      <c r="B833" s="3"/>
      <c r="C833" s="3"/>
      <c r="D833" s="3"/>
      <c r="E833" s="3"/>
      <c r="F833" s="3"/>
      <c r="G833" s="3"/>
      <c r="H833" s="3"/>
      <c r="I833" s="3"/>
      <c r="J833" s="3"/>
      <c r="K833" s="3"/>
    </row>
    <row r="834" spans="1:11" hidden="1" x14ac:dyDescent="0.2">
      <c r="A834" s="3"/>
      <c r="B834" s="3"/>
      <c r="C834" s="3"/>
      <c r="D834" s="3"/>
      <c r="E834" s="3"/>
      <c r="F834" s="3"/>
      <c r="G834" s="3"/>
      <c r="H834" s="3"/>
      <c r="I834" s="3"/>
      <c r="J834" s="3"/>
      <c r="K834" s="3"/>
    </row>
    <row r="835" spans="1:11" hidden="1" x14ac:dyDescent="0.2">
      <c r="A835" s="3"/>
      <c r="B835" s="3"/>
      <c r="C835" s="3"/>
      <c r="D835" s="3"/>
      <c r="E835" s="3"/>
      <c r="F835" s="3"/>
      <c r="G835" s="3"/>
      <c r="H835" s="3"/>
      <c r="I835" s="3"/>
      <c r="J835" s="3"/>
      <c r="K835" s="3"/>
    </row>
    <row r="836" spans="1:11" hidden="1" x14ac:dyDescent="0.2">
      <c r="A836" s="3"/>
      <c r="B836" s="3"/>
      <c r="C836" s="3"/>
      <c r="D836" s="3"/>
      <c r="E836" s="3"/>
      <c r="F836" s="3"/>
      <c r="G836" s="3"/>
      <c r="H836" s="3"/>
      <c r="I836" s="3"/>
      <c r="J836" s="3"/>
      <c r="K836" s="3"/>
    </row>
    <row r="837" spans="1:11" hidden="1" x14ac:dyDescent="0.2">
      <c r="A837" s="3"/>
      <c r="B837" s="3"/>
      <c r="C837" s="3"/>
      <c r="D837" s="3"/>
      <c r="E837" s="3"/>
      <c r="F837" s="3"/>
      <c r="G837" s="3"/>
      <c r="H837" s="3"/>
      <c r="I837" s="3"/>
      <c r="J837" s="3"/>
      <c r="K837" s="3"/>
    </row>
    <row r="838" spans="1:11" hidden="1" x14ac:dyDescent="0.2">
      <c r="A838" s="3"/>
      <c r="B838" s="3"/>
      <c r="C838" s="3"/>
      <c r="D838" s="3"/>
      <c r="E838" s="3"/>
      <c r="F838" s="3"/>
      <c r="G838" s="3"/>
      <c r="H838" s="3"/>
      <c r="I838" s="3"/>
      <c r="J838" s="3"/>
      <c r="K838" s="3"/>
    </row>
    <row r="839" spans="1:11" hidden="1" x14ac:dyDescent="0.2">
      <c r="A839" s="3"/>
      <c r="B839" s="3"/>
      <c r="C839" s="3"/>
      <c r="D839" s="3"/>
      <c r="E839" s="3"/>
      <c r="F839" s="3"/>
      <c r="G839" s="3"/>
      <c r="H839" s="3"/>
      <c r="I839" s="3"/>
      <c r="J839" s="3"/>
      <c r="K839" s="3"/>
    </row>
    <row r="840" spans="1:11" hidden="1" x14ac:dyDescent="0.2">
      <c r="A840" s="3"/>
      <c r="B840" s="3"/>
      <c r="C840" s="3"/>
      <c r="D840" s="3"/>
      <c r="E840" s="3"/>
      <c r="F840" s="3"/>
      <c r="G840" s="3"/>
      <c r="H840" s="3"/>
      <c r="I840" s="3"/>
      <c r="J840" s="3"/>
      <c r="K840" s="3"/>
    </row>
    <row r="841" spans="1:11" hidden="1" x14ac:dyDescent="0.2">
      <c r="A841" s="3"/>
      <c r="B841" s="3"/>
      <c r="C841" s="3"/>
      <c r="D841" s="3"/>
      <c r="E841" s="3"/>
      <c r="F841" s="3"/>
      <c r="G841" s="3"/>
      <c r="H841" s="3"/>
      <c r="I841" s="3"/>
      <c r="J841" s="3"/>
      <c r="K841" s="3"/>
    </row>
    <row r="842" spans="1:11" hidden="1" x14ac:dyDescent="0.2">
      <c r="A842" s="3"/>
      <c r="B842" s="3"/>
      <c r="C842" s="3"/>
      <c r="D842" s="3"/>
      <c r="E842" s="3"/>
      <c r="F842" s="3"/>
      <c r="G842" s="3"/>
      <c r="H842" s="3"/>
      <c r="I842" s="3"/>
      <c r="J842" s="3"/>
      <c r="K842" s="3"/>
    </row>
    <row r="843" spans="1:11" hidden="1" x14ac:dyDescent="0.2">
      <c r="A843" s="3"/>
      <c r="B843" s="3"/>
      <c r="C843" s="3"/>
      <c r="D843" s="3"/>
      <c r="E843" s="3"/>
      <c r="F843" s="3"/>
      <c r="G843" s="3"/>
      <c r="H843" s="3"/>
      <c r="I843" s="3"/>
      <c r="J843" s="3"/>
      <c r="K843" s="3"/>
    </row>
    <row r="844" spans="1:11" hidden="1" x14ac:dyDescent="0.2">
      <c r="A844" s="3"/>
      <c r="B844" s="3"/>
      <c r="C844" s="3"/>
      <c r="D844" s="3"/>
      <c r="E844" s="3"/>
      <c r="F844" s="3"/>
      <c r="G844" s="3"/>
      <c r="H844" s="3"/>
      <c r="I844" s="3"/>
      <c r="J844" s="3"/>
      <c r="K844" s="3"/>
    </row>
    <row r="845" spans="1:11" hidden="1" x14ac:dyDescent="0.2">
      <c r="A845" s="3"/>
      <c r="B845" s="3"/>
      <c r="C845" s="3"/>
      <c r="D845" s="3"/>
      <c r="E845" s="3"/>
      <c r="F845" s="3"/>
      <c r="G845" s="3"/>
      <c r="H845" s="3"/>
      <c r="I845" s="3"/>
      <c r="J845" s="3"/>
      <c r="K845" s="3"/>
    </row>
    <row r="846" spans="1:11" hidden="1" x14ac:dyDescent="0.2">
      <c r="A846" s="3"/>
      <c r="B846" s="3"/>
      <c r="C846" s="3"/>
      <c r="D846" s="3"/>
      <c r="E846" s="3"/>
      <c r="F846" s="3"/>
      <c r="G846" s="3"/>
      <c r="H846" s="3"/>
      <c r="I846" s="3"/>
      <c r="J846" s="3"/>
      <c r="K846" s="3"/>
    </row>
    <row r="847" spans="1:11" hidden="1" x14ac:dyDescent="0.2">
      <c r="A847" s="3"/>
      <c r="B847" s="3"/>
      <c r="C847" s="3"/>
      <c r="D847" s="3"/>
      <c r="E847" s="3"/>
      <c r="F847" s="3"/>
      <c r="G847" s="3"/>
      <c r="H847" s="3"/>
      <c r="I847" s="3"/>
      <c r="J847" s="3"/>
      <c r="K847" s="3"/>
    </row>
    <row r="848" spans="1:11" hidden="1" x14ac:dyDescent="0.2">
      <c r="A848" s="3"/>
      <c r="B848" s="3"/>
      <c r="C848" s="3"/>
      <c r="D848" s="3"/>
      <c r="E848" s="3"/>
      <c r="F848" s="3"/>
      <c r="G848" s="3"/>
      <c r="H848" s="3"/>
      <c r="I848" s="3"/>
      <c r="J848" s="3"/>
      <c r="K848" s="3"/>
    </row>
    <row r="849" spans="1:11" hidden="1" x14ac:dyDescent="0.2">
      <c r="A849" s="3"/>
      <c r="B849" s="3"/>
      <c r="C849" s="3"/>
      <c r="D849" s="3"/>
      <c r="E849" s="3"/>
      <c r="F849" s="3"/>
      <c r="G849" s="3"/>
      <c r="H849" s="3"/>
      <c r="I849" s="3"/>
      <c r="J849" s="3"/>
      <c r="K849" s="3"/>
    </row>
    <row r="850" spans="1:11" hidden="1" x14ac:dyDescent="0.2">
      <c r="A850" s="3"/>
      <c r="B850" s="3"/>
      <c r="C850" s="3"/>
      <c r="D850" s="3"/>
      <c r="E850" s="3"/>
      <c r="F850" s="3"/>
      <c r="G850" s="3"/>
      <c r="H850" s="3"/>
      <c r="I850" s="3"/>
      <c r="J850" s="3"/>
      <c r="K850" s="3"/>
    </row>
    <row r="851" spans="1:11" hidden="1" x14ac:dyDescent="0.2">
      <c r="A851" s="3"/>
      <c r="B851" s="3"/>
      <c r="C851" s="3"/>
      <c r="D851" s="3"/>
      <c r="E851" s="3"/>
      <c r="F851" s="3"/>
      <c r="G851" s="3"/>
      <c r="H851" s="3"/>
      <c r="I851" s="3"/>
      <c r="J851" s="3"/>
      <c r="K851" s="3"/>
    </row>
    <row r="852" spans="1:11" hidden="1" x14ac:dyDescent="0.2">
      <c r="A852" s="3"/>
      <c r="B852" s="3"/>
      <c r="C852" s="3"/>
      <c r="D852" s="3"/>
      <c r="E852" s="3"/>
      <c r="F852" s="3"/>
      <c r="G852" s="3"/>
      <c r="H852" s="3"/>
      <c r="I852" s="3"/>
      <c r="J852" s="3"/>
      <c r="K852" s="3"/>
    </row>
    <row r="853" spans="1:11" hidden="1" x14ac:dyDescent="0.2">
      <c r="A853" s="3"/>
      <c r="B853" s="3"/>
      <c r="C853" s="3"/>
      <c r="D853" s="3"/>
      <c r="E853" s="3"/>
      <c r="F853" s="3"/>
      <c r="G853" s="3"/>
      <c r="H853" s="3"/>
      <c r="I853" s="3"/>
      <c r="J853" s="3"/>
      <c r="K853" s="3"/>
    </row>
    <row r="854" spans="1:11" hidden="1" x14ac:dyDescent="0.2">
      <c r="A854" s="3"/>
      <c r="B854" s="3"/>
      <c r="C854" s="3"/>
      <c r="D854" s="3"/>
      <c r="E854" s="3"/>
      <c r="F854" s="3"/>
      <c r="G854" s="3"/>
      <c r="H854" s="3"/>
      <c r="I854" s="3"/>
      <c r="J854" s="3"/>
      <c r="K854" s="3"/>
    </row>
    <row r="855" spans="1:11" hidden="1" x14ac:dyDescent="0.2">
      <c r="A855" s="3"/>
      <c r="B855" s="3"/>
      <c r="C855" s="3"/>
      <c r="D855" s="3"/>
      <c r="E855" s="3"/>
      <c r="F855" s="3"/>
      <c r="G855" s="3"/>
      <c r="H855" s="3"/>
      <c r="I855" s="3"/>
      <c r="J855" s="3"/>
      <c r="K855" s="3"/>
    </row>
    <row r="856" spans="1:11" hidden="1" x14ac:dyDescent="0.2">
      <c r="A856" s="3"/>
      <c r="B856" s="3"/>
      <c r="C856" s="3"/>
      <c r="D856" s="3"/>
      <c r="E856" s="3"/>
      <c r="F856" s="3"/>
      <c r="G856" s="3"/>
      <c r="H856" s="3"/>
      <c r="I856" s="3"/>
      <c r="J856" s="3"/>
      <c r="K856" s="3"/>
    </row>
    <row r="857" spans="1:11" hidden="1" x14ac:dyDescent="0.2">
      <c r="A857" s="3"/>
      <c r="B857" s="3"/>
      <c r="C857" s="3"/>
      <c r="D857" s="3"/>
      <c r="E857" s="3"/>
      <c r="F857" s="3"/>
      <c r="G857" s="3"/>
      <c r="H857" s="3"/>
      <c r="I857" s="3"/>
      <c r="J857" s="3"/>
      <c r="K857" s="3"/>
    </row>
    <row r="858" spans="1:11" hidden="1" x14ac:dyDescent="0.2">
      <c r="A858" s="3"/>
      <c r="B858" s="3"/>
      <c r="C858" s="3"/>
      <c r="D858" s="3"/>
      <c r="E858" s="3"/>
      <c r="F858" s="3"/>
      <c r="G858" s="3"/>
      <c r="H858" s="3"/>
      <c r="I858" s="3"/>
      <c r="J858" s="3"/>
      <c r="K858" s="3"/>
    </row>
    <row r="859" spans="1:11" hidden="1" x14ac:dyDescent="0.2">
      <c r="A859" s="3"/>
      <c r="B859" s="3"/>
      <c r="C859" s="3"/>
      <c r="D859" s="3"/>
      <c r="E859" s="3"/>
      <c r="F859" s="3"/>
      <c r="G859" s="3"/>
      <c r="H859" s="3"/>
      <c r="I859" s="3"/>
      <c r="J859" s="3"/>
      <c r="K859" s="3"/>
    </row>
    <row r="860" spans="1:11" hidden="1" x14ac:dyDescent="0.2">
      <c r="A860" s="3"/>
      <c r="B860" s="3"/>
      <c r="C860" s="3"/>
      <c r="D860" s="3"/>
      <c r="E860" s="3"/>
      <c r="F860" s="3"/>
      <c r="G860" s="3"/>
      <c r="H860" s="3"/>
      <c r="I860" s="3"/>
      <c r="J860" s="3"/>
      <c r="K860" s="3"/>
    </row>
    <row r="861" spans="1:11" hidden="1" x14ac:dyDescent="0.2">
      <c r="A861" s="3"/>
      <c r="B861" s="3"/>
      <c r="C861" s="3"/>
      <c r="D861" s="3"/>
      <c r="E861" s="3"/>
      <c r="F861" s="3"/>
      <c r="G861" s="3"/>
      <c r="H861" s="3"/>
      <c r="I861" s="3"/>
      <c r="J861" s="3"/>
      <c r="K861" s="3"/>
    </row>
    <row r="862" spans="1:11" hidden="1" x14ac:dyDescent="0.2">
      <c r="A862" s="3"/>
      <c r="B862" s="3"/>
      <c r="C862" s="3"/>
      <c r="D862" s="3"/>
      <c r="E862" s="3"/>
      <c r="F862" s="3"/>
      <c r="G862" s="3"/>
      <c r="H862" s="3"/>
      <c r="I862" s="3"/>
      <c r="J862" s="3"/>
      <c r="K862" s="3"/>
    </row>
    <row r="863" spans="1:11" hidden="1" x14ac:dyDescent="0.2">
      <c r="A863" s="3"/>
      <c r="B863" s="3"/>
      <c r="C863" s="3"/>
      <c r="D863" s="3"/>
      <c r="E863" s="3"/>
      <c r="F863" s="3"/>
      <c r="G863" s="3"/>
      <c r="H863" s="3"/>
      <c r="I863" s="3"/>
      <c r="J863" s="3"/>
      <c r="K863" s="3"/>
    </row>
    <row r="864" spans="1:11" hidden="1" x14ac:dyDescent="0.2">
      <c r="A864" s="3"/>
      <c r="B864" s="3"/>
      <c r="C864" s="3"/>
      <c r="D864" s="3"/>
      <c r="E864" s="3"/>
      <c r="F864" s="3"/>
      <c r="G864" s="3"/>
      <c r="H864" s="3"/>
      <c r="I864" s="3"/>
      <c r="J864" s="3"/>
      <c r="K864" s="3"/>
    </row>
    <row r="865" spans="1:11" hidden="1" x14ac:dyDescent="0.2">
      <c r="A865" s="3"/>
      <c r="B865" s="3"/>
      <c r="C865" s="3"/>
      <c r="D865" s="3"/>
      <c r="E865" s="3"/>
      <c r="F865" s="3"/>
      <c r="G865" s="3"/>
      <c r="H865" s="3"/>
      <c r="I865" s="3"/>
      <c r="J865" s="3"/>
      <c r="K865" s="3"/>
    </row>
    <row r="866" spans="1:11" hidden="1" x14ac:dyDescent="0.2">
      <c r="A866" s="3"/>
      <c r="B866" s="3"/>
      <c r="C866" s="3"/>
      <c r="D866" s="3"/>
      <c r="E866" s="3"/>
      <c r="F866" s="3"/>
      <c r="G866" s="3"/>
      <c r="H866" s="3"/>
      <c r="I866" s="3"/>
      <c r="J866" s="3"/>
      <c r="K866" s="3"/>
    </row>
    <row r="867" spans="1:11" hidden="1" x14ac:dyDescent="0.2">
      <c r="A867" s="3"/>
      <c r="B867" s="3"/>
      <c r="C867" s="3"/>
      <c r="D867" s="3"/>
      <c r="E867" s="3"/>
      <c r="F867" s="3"/>
      <c r="G867" s="3"/>
      <c r="H867" s="3"/>
      <c r="I867" s="3"/>
      <c r="J867" s="3"/>
      <c r="K867" s="3"/>
    </row>
    <row r="868" spans="1:11" hidden="1" x14ac:dyDescent="0.2">
      <c r="A868" s="3"/>
      <c r="B868" s="3"/>
      <c r="C868" s="3"/>
      <c r="D868" s="3"/>
      <c r="E868" s="3"/>
      <c r="F868" s="3"/>
      <c r="G868" s="3"/>
      <c r="H868" s="3"/>
      <c r="I868" s="3"/>
      <c r="J868" s="3"/>
      <c r="K868" s="3"/>
    </row>
    <row r="869" spans="1:11" hidden="1" x14ac:dyDescent="0.2">
      <c r="A869" s="3"/>
      <c r="B869" s="3"/>
      <c r="C869" s="3"/>
      <c r="D869" s="3"/>
      <c r="E869" s="3"/>
      <c r="F869" s="3"/>
      <c r="G869" s="3"/>
      <c r="H869" s="3"/>
      <c r="I869" s="3"/>
      <c r="J869" s="3"/>
      <c r="K869" s="3"/>
    </row>
    <row r="870" spans="1:11" hidden="1" x14ac:dyDescent="0.2">
      <c r="A870" s="3"/>
      <c r="B870" s="3"/>
      <c r="C870" s="3"/>
      <c r="D870" s="3"/>
      <c r="E870" s="3"/>
      <c r="F870" s="3"/>
      <c r="G870" s="3"/>
      <c r="H870" s="3"/>
      <c r="I870" s="3"/>
      <c r="J870" s="3"/>
      <c r="K870" s="3"/>
    </row>
    <row r="871" spans="1:11" hidden="1" x14ac:dyDescent="0.2">
      <c r="A871" s="3"/>
      <c r="B871" s="3"/>
      <c r="C871" s="3"/>
      <c r="D871" s="3"/>
      <c r="E871" s="3"/>
      <c r="F871" s="3"/>
      <c r="G871" s="3"/>
      <c r="H871" s="3"/>
      <c r="I871" s="3"/>
      <c r="J871" s="3"/>
      <c r="K871" s="3"/>
    </row>
    <row r="872" spans="1:11" hidden="1" x14ac:dyDescent="0.2">
      <c r="A872" s="3"/>
      <c r="B872" s="3"/>
      <c r="C872" s="3"/>
      <c r="D872" s="3"/>
      <c r="E872" s="3"/>
      <c r="F872" s="3"/>
      <c r="G872" s="3"/>
      <c r="H872" s="3"/>
      <c r="I872" s="3"/>
      <c r="J872" s="3"/>
      <c r="K872" s="3"/>
    </row>
    <row r="873" spans="1:11" hidden="1" x14ac:dyDescent="0.2">
      <c r="A873" s="3"/>
      <c r="B873" s="3"/>
      <c r="C873" s="3"/>
      <c r="D873" s="3"/>
      <c r="E873" s="3"/>
      <c r="F873" s="3"/>
      <c r="G873" s="3"/>
      <c r="H873" s="3"/>
      <c r="I873" s="3"/>
      <c r="J873" s="3"/>
      <c r="K873" s="3"/>
    </row>
    <row r="874" spans="1:11" hidden="1" x14ac:dyDescent="0.2">
      <c r="A874" s="3"/>
      <c r="B874" s="3"/>
      <c r="C874" s="3"/>
      <c r="D874" s="3"/>
      <c r="E874" s="3"/>
      <c r="F874" s="3"/>
      <c r="G874" s="3"/>
      <c r="H874" s="3"/>
      <c r="I874" s="3"/>
      <c r="J874" s="3"/>
      <c r="K874" s="3"/>
    </row>
    <row r="875" spans="1:11" hidden="1" x14ac:dyDescent="0.2">
      <c r="A875" s="3"/>
      <c r="B875" s="3"/>
      <c r="C875" s="3"/>
      <c r="D875" s="3"/>
      <c r="E875" s="3"/>
      <c r="F875" s="3"/>
      <c r="G875" s="3"/>
      <c r="H875" s="3"/>
      <c r="I875" s="3"/>
      <c r="J875" s="3"/>
      <c r="K875" s="3"/>
    </row>
    <row r="876" spans="1:11" hidden="1" x14ac:dyDescent="0.2">
      <c r="A876" s="3"/>
      <c r="B876" s="3"/>
      <c r="C876" s="3"/>
      <c r="D876" s="3"/>
      <c r="E876" s="3"/>
      <c r="F876" s="3"/>
      <c r="G876" s="3"/>
      <c r="H876" s="3"/>
      <c r="I876" s="3"/>
      <c r="J876" s="3"/>
      <c r="K876" s="3"/>
    </row>
    <row r="877" spans="1:11" hidden="1" x14ac:dyDescent="0.2">
      <c r="A877" s="3"/>
      <c r="B877" s="3"/>
      <c r="C877" s="3"/>
      <c r="D877" s="3"/>
      <c r="E877" s="3"/>
      <c r="F877" s="3"/>
      <c r="G877" s="3"/>
      <c r="H877" s="3"/>
      <c r="I877" s="3"/>
      <c r="J877" s="3"/>
      <c r="K877" s="3"/>
    </row>
    <row r="878" spans="1:11" hidden="1" x14ac:dyDescent="0.2">
      <c r="A878" s="3"/>
      <c r="B878" s="3"/>
      <c r="C878" s="3"/>
      <c r="D878" s="3"/>
      <c r="E878" s="3"/>
      <c r="F878" s="3"/>
      <c r="G878" s="3"/>
      <c r="H878" s="3"/>
      <c r="I878" s="3"/>
      <c r="J878" s="3"/>
      <c r="K878" s="3"/>
    </row>
    <row r="879" spans="1:11" hidden="1" x14ac:dyDescent="0.2">
      <c r="A879" s="3"/>
      <c r="B879" s="3"/>
      <c r="C879" s="3"/>
      <c r="D879" s="3"/>
      <c r="E879" s="3"/>
      <c r="F879" s="3"/>
      <c r="G879" s="3"/>
      <c r="H879" s="3"/>
      <c r="I879" s="3"/>
      <c r="J879" s="3"/>
      <c r="K879" s="3"/>
    </row>
    <row r="880" spans="1:11" hidden="1" x14ac:dyDescent="0.2">
      <c r="A880" s="3"/>
      <c r="B880" s="3"/>
      <c r="C880" s="3"/>
      <c r="D880" s="3"/>
      <c r="E880" s="3"/>
      <c r="F880" s="3"/>
      <c r="G880" s="3"/>
      <c r="H880" s="3"/>
      <c r="I880" s="3"/>
      <c r="J880" s="3"/>
      <c r="K880" s="3"/>
    </row>
    <row r="881" spans="1:11" hidden="1" x14ac:dyDescent="0.2">
      <c r="A881" s="3"/>
      <c r="B881" s="3"/>
      <c r="C881" s="3"/>
      <c r="D881" s="3"/>
      <c r="E881" s="3"/>
      <c r="F881" s="3"/>
      <c r="G881" s="3"/>
      <c r="H881" s="3"/>
      <c r="I881" s="3"/>
      <c r="J881" s="3"/>
      <c r="K881" s="3"/>
    </row>
    <row r="882" spans="1:11" hidden="1" x14ac:dyDescent="0.2">
      <c r="A882" s="3"/>
      <c r="B882" s="3"/>
      <c r="C882" s="3"/>
      <c r="D882" s="3"/>
      <c r="E882" s="3"/>
      <c r="F882" s="3"/>
      <c r="G882" s="3"/>
      <c r="H882" s="3"/>
      <c r="I882" s="3"/>
      <c r="J882" s="3"/>
      <c r="K882" s="3"/>
    </row>
    <row r="883" spans="1:11" hidden="1" x14ac:dyDescent="0.2">
      <c r="A883" s="3"/>
      <c r="B883" s="3"/>
      <c r="C883" s="3"/>
      <c r="D883" s="3"/>
      <c r="E883" s="3"/>
      <c r="F883" s="3"/>
      <c r="G883" s="3"/>
      <c r="H883" s="3"/>
      <c r="I883" s="3"/>
      <c r="J883" s="3"/>
      <c r="K883" s="3"/>
    </row>
    <row r="884" spans="1:11" hidden="1" x14ac:dyDescent="0.2">
      <c r="A884" s="3"/>
      <c r="B884" s="3"/>
      <c r="C884" s="3"/>
      <c r="D884" s="3"/>
      <c r="E884" s="3"/>
      <c r="F884" s="3"/>
      <c r="G884" s="3"/>
      <c r="H884" s="3"/>
      <c r="I884" s="3"/>
      <c r="J884" s="3"/>
      <c r="K884" s="3"/>
    </row>
    <row r="885" spans="1:11" hidden="1" x14ac:dyDescent="0.2">
      <c r="A885" s="3"/>
      <c r="B885" s="3"/>
      <c r="C885" s="3"/>
      <c r="D885" s="3"/>
      <c r="E885" s="3"/>
      <c r="F885" s="3"/>
      <c r="G885" s="3"/>
      <c r="H885" s="3"/>
      <c r="I885" s="3"/>
      <c r="J885" s="3"/>
      <c r="K885" s="3"/>
    </row>
    <row r="886" spans="1:11" hidden="1" x14ac:dyDescent="0.2">
      <c r="A886" s="3"/>
      <c r="B886" s="3"/>
      <c r="C886" s="3"/>
      <c r="D886" s="3"/>
      <c r="E886" s="3"/>
      <c r="F886" s="3"/>
      <c r="G886" s="3"/>
      <c r="H886" s="3"/>
      <c r="I886" s="3"/>
      <c r="J886" s="3"/>
      <c r="K886" s="3"/>
    </row>
    <row r="887" spans="1:11" hidden="1" x14ac:dyDescent="0.2">
      <c r="A887" s="3"/>
      <c r="B887" s="3"/>
      <c r="C887" s="3"/>
      <c r="D887" s="3"/>
      <c r="E887" s="3"/>
      <c r="F887" s="3"/>
      <c r="G887" s="3"/>
      <c r="H887" s="3"/>
      <c r="I887" s="3"/>
      <c r="J887" s="3"/>
      <c r="K887" s="3"/>
    </row>
    <row r="888" spans="1:11" hidden="1" x14ac:dyDescent="0.2">
      <c r="A888" s="3"/>
      <c r="B888" s="3"/>
      <c r="C888" s="3"/>
      <c r="D888" s="3"/>
      <c r="E888" s="3"/>
      <c r="F888" s="3"/>
      <c r="G888" s="3"/>
      <c r="H888" s="3"/>
      <c r="I888" s="3"/>
      <c r="J888" s="3"/>
      <c r="K888" s="3"/>
    </row>
    <row r="889" spans="1:11" hidden="1" x14ac:dyDescent="0.2">
      <c r="A889" s="3"/>
      <c r="B889" s="3"/>
      <c r="C889" s="3"/>
      <c r="D889" s="3"/>
      <c r="E889" s="3"/>
      <c r="F889" s="3"/>
      <c r="G889" s="3"/>
      <c r="H889" s="3"/>
      <c r="I889" s="3"/>
      <c r="J889" s="3"/>
      <c r="K889" s="3"/>
    </row>
    <row r="890" spans="1:11" hidden="1" x14ac:dyDescent="0.2">
      <c r="A890" s="3"/>
      <c r="B890" s="3"/>
      <c r="C890" s="3"/>
      <c r="D890" s="3"/>
      <c r="E890" s="3"/>
      <c r="F890" s="3"/>
      <c r="G890" s="3"/>
      <c r="H890" s="3"/>
      <c r="I890" s="3"/>
      <c r="J890" s="3"/>
      <c r="K890" s="3"/>
    </row>
    <row r="891" spans="1:11" hidden="1" x14ac:dyDescent="0.2">
      <c r="A891" s="3"/>
      <c r="B891" s="3"/>
      <c r="C891" s="3"/>
      <c r="D891" s="3"/>
      <c r="E891" s="3"/>
      <c r="F891" s="3"/>
      <c r="G891" s="3"/>
      <c r="H891" s="3"/>
      <c r="I891" s="3"/>
      <c r="J891" s="3"/>
      <c r="K891" s="3"/>
    </row>
    <row r="892" spans="1:11" hidden="1" x14ac:dyDescent="0.2">
      <c r="A892" s="3"/>
      <c r="B892" s="3"/>
      <c r="C892" s="3"/>
      <c r="D892" s="3"/>
      <c r="E892" s="3"/>
      <c r="F892" s="3"/>
      <c r="G892" s="3"/>
      <c r="H892" s="3"/>
      <c r="I892" s="3"/>
      <c r="J892" s="3"/>
      <c r="K892" s="3"/>
    </row>
    <row r="893" spans="1:11" hidden="1" x14ac:dyDescent="0.2">
      <c r="A893" s="3"/>
      <c r="B893" s="3"/>
      <c r="C893" s="3"/>
      <c r="D893" s="3"/>
      <c r="E893" s="3"/>
      <c r="F893" s="3"/>
      <c r="G893" s="3"/>
      <c r="H893" s="3"/>
      <c r="I893" s="3"/>
      <c r="J893" s="3"/>
      <c r="K893" s="3"/>
    </row>
    <row r="894" spans="1:11" hidden="1" x14ac:dyDescent="0.2">
      <c r="A894" s="3"/>
      <c r="B894" s="3"/>
      <c r="C894" s="3"/>
      <c r="D894" s="3"/>
      <c r="E894" s="3"/>
      <c r="F894" s="3"/>
      <c r="G894" s="3"/>
      <c r="H894" s="3"/>
      <c r="I894" s="3"/>
      <c r="J894" s="3"/>
      <c r="K894" s="3"/>
    </row>
    <row r="895" spans="1:11" hidden="1" x14ac:dyDescent="0.2">
      <c r="A895" s="3"/>
      <c r="B895" s="3"/>
      <c r="C895" s="3"/>
      <c r="D895" s="3"/>
      <c r="E895" s="3"/>
      <c r="F895" s="3"/>
      <c r="G895" s="3"/>
      <c r="H895" s="3"/>
      <c r="I895" s="3"/>
      <c r="J895" s="3"/>
      <c r="K895" s="3"/>
    </row>
    <row r="896" spans="1:11" hidden="1" x14ac:dyDescent="0.2">
      <c r="A896" s="3"/>
      <c r="B896" s="3"/>
      <c r="C896" s="3"/>
      <c r="D896" s="3"/>
      <c r="E896" s="3"/>
      <c r="F896" s="3"/>
      <c r="G896" s="3"/>
      <c r="H896" s="3"/>
      <c r="I896" s="3"/>
      <c r="J896" s="3"/>
      <c r="K896" s="3"/>
    </row>
    <row r="897" spans="1:11" hidden="1" x14ac:dyDescent="0.2">
      <c r="A897" s="3"/>
      <c r="B897" s="3"/>
      <c r="C897" s="3"/>
      <c r="D897" s="3"/>
      <c r="E897" s="3"/>
      <c r="F897" s="3"/>
      <c r="G897" s="3"/>
      <c r="H897" s="3"/>
      <c r="I897" s="3"/>
      <c r="J897" s="3"/>
      <c r="K897" s="3"/>
    </row>
    <row r="898" spans="1:11" hidden="1" x14ac:dyDescent="0.2">
      <c r="A898" s="3"/>
      <c r="B898" s="3"/>
      <c r="C898" s="3"/>
      <c r="D898" s="3"/>
      <c r="E898" s="3"/>
      <c r="F898" s="3"/>
      <c r="G898" s="3"/>
      <c r="H898" s="3"/>
      <c r="I898" s="3"/>
      <c r="J898" s="3"/>
      <c r="K898" s="3"/>
    </row>
    <row r="899" spans="1:11" hidden="1" x14ac:dyDescent="0.2">
      <c r="A899" s="3"/>
      <c r="B899" s="3"/>
      <c r="C899" s="3"/>
      <c r="D899" s="3"/>
      <c r="E899" s="3"/>
      <c r="F899" s="3"/>
      <c r="G899" s="3"/>
      <c r="H899" s="3"/>
      <c r="I899" s="3"/>
      <c r="J899" s="3"/>
      <c r="K899" s="3"/>
    </row>
    <row r="900" spans="1:11" hidden="1" x14ac:dyDescent="0.2">
      <c r="A900" s="3"/>
      <c r="B900" s="3"/>
      <c r="C900" s="3"/>
      <c r="D900" s="3"/>
      <c r="E900" s="3"/>
      <c r="F900" s="3"/>
      <c r="G900" s="3"/>
      <c r="H900" s="3"/>
      <c r="I900" s="3"/>
      <c r="J900" s="3"/>
      <c r="K900" s="3"/>
    </row>
    <row r="901" spans="1:11" hidden="1" x14ac:dyDescent="0.2">
      <c r="A901" s="3"/>
      <c r="B901" s="3"/>
      <c r="C901" s="3"/>
      <c r="D901" s="3"/>
      <c r="E901" s="3"/>
      <c r="F901" s="3"/>
      <c r="G901" s="3"/>
      <c r="H901" s="3"/>
      <c r="I901" s="3"/>
      <c r="J901" s="3"/>
      <c r="K901" s="3"/>
    </row>
    <row r="902" spans="1:11" hidden="1" x14ac:dyDescent="0.2">
      <c r="A902" s="3"/>
      <c r="B902" s="3"/>
      <c r="C902" s="3"/>
      <c r="D902" s="3"/>
      <c r="E902" s="3"/>
      <c r="F902" s="3"/>
      <c r="G902" s="3"/>
      <c r="H902" s="3"/>
      <c r="I902" s="3"/>
      <c r="J902" s="3"/>
      <c r="K902" s="3"/>
    </row>
    <row r="903" spans="1:11" hidden="1" x14ac:dyDescent="0.2">
      <c r="A903" s="3"/>
      <c r="B903" s="3"/>
      <c r="C903" s="3"/>
      <c r="D903" s="3"/>
      <c r="E903" s="3"/>
      <c r="F903" s="3"/>
      <c r="G903" s="3"/>
      <c r="H903" s="3"/>
      <c r="I903" s="3"/>
      <c r="J903" s="3"/>
      <c r="K903" s="3"/>
    </row>
    <row r="904" spans="1:11" hidden="1" x14ac:dyDescent="0.2">
      <c r="A904" s="3"/>
      <c r="B904" s="3"/>
      <c r="C904" s="3"/>
      <c r="D904" s="3"/>
      <c r="E904" s="3"/>
      <c r="F904" s="3"/>
      <c r="G904" s="3"/>
      <c r="H904" s="3"/>
      <c r="I904" s="3"/>
      <c r="J904" s="3"/>
      <c r="K904" s="3"/>
    </row>
    <row r="905" spans="1:11" hidden="1" x14ac:dyDescent="0.2">
      <c r="A905" s="3"/>
      <c r="B905" s="3"/>
      <c r="C905" s="3"/>
      <c r="D905" s="3"/>
      <c r="E905" s="3"/>
      <c r="F905" s="3"/>
      <c r="G905" s="3"/>
      <c r="H905" s="3"/>
      <c r="I905" s="3"/>
      <c r="J905" s="3"/>
      <c r="K905" s="3"/>
    </row>
    <row r="906" spans="1:11" hidden="1" x14ac:dyDescent="0.2">
      <c r="A906" s="3"/>
      <c r="B906" s="3"/>
      <c r="C906" s="3"/>
      <c r="D906" s="3"/>
      <c r="E906" s="3"/>
      <c r="F906" s="3"/>
      <c r="G906" s="3"/>
      <c r="H906" s="3"/>
      <c r="I906" s="3"/>
      <c r="J906" s="3"/>
      <c r="K906" s="3"/>
    </row>
    <row r="907" spans="1:11" hidden="1" x14ac:dyDescent="0.2">
      <c r="A907" s="3"/>
      <c r="B907" s="3"/>
      <c r="C907" s="3"/>
      <c r="D907" s="3"/>
      <c r="E907" s="3"/>
      <c r="F907" s="3"/>
      <c r="G907" s="3"/>
      <c r="H907" s="3"/>
      <c r="I907" s="3"/>
      <c r="J907" s="3"/>
      <c r="K907" s="3"/>
    </row>
    <row r="908" spans="1:11" hidden="1" x14ac:dyDescent="0.2">
      <c r="A908" s="3"/>
      <c r="B908" s="3"/>
      <c r="C908" s="3"/>
      <c r="D908" s="3"/>
      <c r="E908" s="3"/>
      <c r="F908" s="3"/>
      <c r="G908" s="3"/>
      <c r="H908" s="3"/>
      <c r="I908" s="3"/>
      <c r="J908" s="3"/>
      <c r="K908" s="3"/>
    </row>
    <row r="909" spans="1:11" hidden="1" x14ac:dyDescent="0.2">
      <c r="A909" s="3"/>
      <c r="B909" s="3"/>
      <c r="C909" s="3"/>
      <c r="D909" s="3"/>
      <c r="E909" s="3"/>
      <c r="F909" s="3"/>
      <c r="G909" s="3"/>
      <c r="H909" s="3"/>
      <c r="I909" s="3"/>
      <c r="J909" s="3"/>
      <c r="K909" s="3"/>
    </row>
    <row r="910" spans="1:11" hidden="1" x14ac:dyDescent="0.2">
      <c r="A910" s="3"/>
      <c r="B910" s="3"/>
      <c r="C910" s="3"/>
      <c r="D910" s="3"/>
      <c r="E910" s="3"/>
      <c r="F910" s="3"/>
      <c r="G910" s="3"/>
      <c r="H910" s="3"/>
      <c r="I910" s="3"/>
      <c r="J910" s="3"/>
      <c r="K910" s="3"/>
    </row>
    <row r="911" spans="1:11" hidden="1" x14ac:dyDescent="0.2">
      <c r="A911" s="3"/>
      <c r="B911" s="3"/>
      <c r="C911" s="3"/>
      <c r="D911" s="3"/>
      <c r="E911" s="3"/>
      <c r="F911" s="3"/>
      <c r="G911" s="3"/>
      <c r="H911" s="3"/>
      <c r="I911" s="3"/>
      <c r="J911" s="3"/>
      <c r="K911" s="3"/>
    </row>
    <row r="912" spans="1:11" hidden="1" x14ac:dyDescent="0.2">
      <c r="A912" s="3"/>
      <c r="B912" s="3"/>
      <c r="C912" s="3"/>
      <c r="D912" s="3"/>
      <c r="E912" s="3"/>
      <c r="F912" s="3"/>
      <c r="G912" s="3"/>
      <c r="H912" s="3"/>
      <c r="I912" s="3"/>
      <c r="J912" s="3"/>
      <c r="K912" s="3"/>
    </row>
    <row r="913" spans="1:11" hidden="1" x14ac:dyDescent="0.2">
      <c r="A913" s="3"/>
      <c r="B913" s="3"/>
      <c r="C913" s="3"/>
      <c r="D913" s="3"/>
      <c r="E913" s="3"/>
      <c r="F913" s="3"/>
      <c r="G913" s="3"/>
      <c r="H913" s="3"/>
      <c r="I913" s="3"/>
      <c r="J913" s="3"/>
      <c r="K913" s="3"/>
    </row>
    <row r="914" spans="1:11" hidden="1" x14ac:dyDescent="0.2">
      <c r="A914" s="3"/>
      <c r="B914" s="3"/>
      <c r="C914" s="3"/>
      <c r="D914" s="3"/>
      <c r="E914" s="3"/>
      <c r="F914" s="3"/>
      <c r="G914" s="3"/>
      <c r="H914" s="3"/>
      <c r="I914" s="3"/>
      <c r="J914" s="3"/>
      <c r="K914" s="3"/>
    </row>
    <row r="915" spans="1:11" hidden="1" x14ac:dyDescent="0.2">
      <c r="A915" s="3"/>
      <c r="B915" s="3"/>
      <c r="C915" s="3"/>
      <c r="D915" s="3"/>
      <c r="E915" s="3"/>
      <c r="F915" s="3"/>
      <c r="G915" s="3"/>
      <c r="H915" s="3"/>
      <c r="I915" s="3"/>
      <c r="J915" s="3"/>
      <c r="K915" s="3"/>
    </row>
    <row r="916" spans="1:11" hidden="1" x14ac:dyDescent="0.2">
      <c r="A916" s="3"/>
      <c r="B916" s="3"/>
      <c r="C916" s="3"/>
      <c r="D916" s="3"/>
      <c r="E916" s="3"/>
      <c r="F916" s="3"/>
      <c r="G916" s="3"/>
      <c r="H916" s="3"/>
      <c r="I916" s="3"/>
      <c r="J916" s="3"/>
      <c r="K916" s="3"/>
    </row>
    <row r="917" spans="1:11" hidden="1" x14ac:dyDescent="0.2">
      <c r="A917" s="3"/>
      <c r="B917" s="3"/>
      <c r="C917" s="3"/>
      <c r="D917" s="3"/>
      <c r="E917" s="3"/>
      <c r="F917" s="3"/>
      <c r="G917" s="3"/>
      <c r="H917" s="3"/>
      <c r="I917" s="3"/>
      <c r="J917" s="3"/>
      <c r="K917" s="3"/>
    </row>
    <row r="918" spans="1:11" hidden="1" x14ac:dyDescent="0.2">
      <c r="A918" s="3"/>
      <c r="B918" s="3"/>
      <c r="C918" s="3"/>
      <c r="D918" s="3"/>
      <c r="E918" s="3"/>
      <c r="F918" s="3"/>
      <c r="G918" s="3"/>
      <c r="H918" s="3"/>
      <c r="I918" s="3"/>
      <c r="J918" s="3"/>
      <c r="K918" s="3"/>
    </row>
    <row r="919" spans="1:11" hidden="1" x14ac:dyDescent="0.2">
      <c r="A919" s="3"/>
      <c r="B919" s="3"/>
      <c r="C919" s="3"/>
      <c r="D919" s="3"/>
      <c r="E919" s="3"/>
      <c r="F919" s="3"/>
      <c r="G919" s="3"/>
      <c r="H919" s="3"/>
      <c r="I919" s="3"/>
      <c r="J919" s="3"/>
      <c r="K919" s="3"/>
    </row>
    <row r="920" spans="1:11" hidden="1" x14ac:dyDescent="0.2">
      <c r="A920" s="3"/>
      <c r="B920" s="3"/>
      <c r="C920" s="3"/>
      <c r="D920" s="3"/>
      <c r="E920" s="3"/>
      <c r="F920" s="3"/>
      <c r="G920" s="3"/>
      <c r="H920" s="3"/>
      <c r="I920" s="3"/>
      <c r="J920" s="3"/>
      <c r="K920" s="3"/>
    </row>
    <row r="921" spans="1:11" hidden="1" x14ac:dyDescent="0.2">
      <c r="A921" s="3"/>
      <c r="B921" s="3"/>
      <c r="C921" s="3"/>
      <c r="D921" s="3"/>
      <c r="E921" s="3"/>
      <c r="F921" s="3"/>
      <c r="G921" s="3"/>
      <c r="H921" s="3"/>
      <c r="I921" s="3"/>
      <c r="J921" s="3"/>
      <c r="K921" s="3"/>
    </row>
    <row r="922" spans="1:11" hidden="1" x14ac:dyDescent="0.2">
      <c r="A922" s="3"/>
      <c r="B922" s="3"/>
      <c r="C922" s="3"/>
      <c r="D922" s="3"/>
      <c r="E922" s="3"/>
      <c r="F922" s="3"/>
      <c r="G922" s="3"/>
      <c r="H922" s="3"/>
      <c r="I922" s="3"/>
      <c r="J922" s="3"/>
      <c r="K922" s="3"/>
    </row>
    <row r="923" spans="1:11" hidden="1" x14ac:dyDescent="0.2">
      <c r="A923" s="3"/>
      <c r="B923" s="3"/>
      <c r="C923" s="3"/>
      <c r="D923" s="3"/>
      <c r="E923" s="3"/>
      <c r="F923" s="3"/>
      <c r="G923" s="3"/>
      <c r="H923" s="3"/>
      <c r="I923" s="3"/>
      <c r="J923" s="3"/>
      <c r="K923" s="3"/>
    </row>
    <row r="924" spans="1:11" hidden="1" x14ac:dyDescent="0.2">
      <c r="A924" s="3"/>
      <c r="B924" s="3"/>
      <c r="C924" s="3"/>
      <c r="D924" s="3"/>
      <c r="E924" s="3"/>
      <c r="F924" s="3"/>
      <c r="G924" s="3"/>
      <c r="H924" s="3"/>
      <c r="I924" s="3"/>
      <c r="J924" s="3"/>
      <c r="K924" s="3"/>
    </row>
    <row r="925" spans="1:11" hidden="1" x14ac:dyDescent="0.2">
      <c r="A925" s="3"/>
      <c r="B925" s="3"/>
      <c r="C925" s="3"/>
      <c r="D925" s="3"/>
      <c r="E925" s="3"/>
      <c r="F925" s="3"/>
      <c r="G925" s="3"/>
      <c r="H925" s="3"/>
      <c r="I925" s="3"/>
      <c r="J925" s="3"/>
      <c r="K925" s="3"/>
    </row>
    <row r="926" spans="1:11" hidden="1" x14ac:dyDescent="0.2">
      <c r="A926" s="3"/>
      <c r="B926" s="3"/>
      <c r="C926" s="3"/>
      <c r="D926" s="3"/>
      <c r="E926" s="3"/>
      <c r="F926" s="3"/>
      <c r="G926" s="3"/>
      <c r="H926" s="3"/>
      <c r="I926" s="3"/>
      <c r="J926" s="3"/>
      <c r="K926" s="3"/>
    </row>
    <row r="927" spans="1:11" hidden="1" x14ac:dyDescent="0.2">
      <c r="A927" s="3"/>
      <c r="B927" s="3"/>
      <c r="C927" s="3"/>
      <c r="D927" s="3"/>
      <c r="E927" s="3"/>
      <c r="F927" s="3"/>
      <c r="G927" s="3"/>
      <c r="H927" s="3"/>
      <c r="I927" s="3"/>
      <c r="J927" s="3"/>
      <c r="K927" s="3"/>
    </row>
    <row r="928" spans="1:11" hidden="1" x14ac:dyDescent="0.2">
      <c r="A928" s="3"/>
      <c r="B928" s="3"/>
      <c r="C928" s="3"/>
      <c r="D928" s="3"/>
      <c r="E928" s="3"/>
      <c r="F928" s="3"/>
      <c r="G928" s="3"/>
      <c r="H928" s="3"/>
      <c r="I928" s="3"/>
      <c r="J928" s="3"/>
      <c r="K928" s="3"/>
    </row>
    <row r="929" spans="1:11" hidden="1" x14ac:dyDescent="0.2">
      <c r="A929" s="3"/>
      <c r="B929" s="3"/>
      <c r="C929" s="3"/>
      <c r="D929" s="3"/>
      <c r="E929" s="3"/>
      <c r="F929" s="3"/>
      <c r="G929" s="3"/>
      <c r="H929" s="3"/>
      <c r="I929" s="3"/>
      <c r="J929" s="3"/>
      <c r="K929" s="3"/>
    </row>
    <row r="930" spans="1:11" hidden="1" x14ac:dyDescent="0.2">
      <c r="A930" s="3"/>
      <c r="B930" s="3"/>
      <c r="C930" s="3"/>
      <c r="D930" s="3"/>
      <c r="E930" s="3"/>
      <c r="F930" s="3"/>
      <c r="G930" s="3"/>
      <c r="H930" s="3"/>
      <c r="I930" s="3"/>
      <c r="J930" s="3"/>
      <c r="K930" s="3"/>
    </row>
    <row r="931" spans="1:11" hidden="1" x14ac:dyDescent="0.2">
      <c r="A931" s="3"/>
      <c r="B931" s="3"/>
      <c r="C931" s="3"/>
      <c r="D931" s="3"/>
      <c r="E931" s="3"/>
      <c r="F931" s="3"/>
      <c r="G931" s="3"/>
      <c r="H931" s="3"/>
      <c r="I931" s="3"/>
      <c r="J931" s="3"/>
      <c r="K931" s="3"/>
    </row>
    <row r="932" spans="1:11" hidden="1" x14ac:dyDescent="0.2">
      <c r="A932" s="3"/>
      <c r="B932" s="3"/>
      <c r="C932" s="3"/>
      <c r="D932" s="3"/>
      <c r="E932" s="3"/>
      <c r="F932" s="3"/>
      <c r="G932" s="3"/>
      <c r="H932" s="3"/>
      <c r="I932" s="3"/>
      <c r="J932" s="3"/>
      <c r="K932" s="3"/>
    </row>
    <row r="933" spans="1:11" hidden="1" x14ac:dyDescent="0.2">
      <c r="A933" s="3"/>
      <c r="B933" s="3"/>
      <c r="C933" s="3"/>
      <c r="D933" s="3"/>
      <c r="E933" s="3"/>
      <c r="F933" s="3"/>
      <c r="G933" s="3"/>
      <c r="H933" s="3"/>
      <c r="I933" s="3"/>
      <c r="J933" s="3"/>
      <c r="K933" s="3"/>
    </row>
    <row r="934" spans="1:11" hidden="1" x14ac:dyDescent="0.2">
      <c r="A934" s="3"/>
      <c r="B934" s="3"/>
      <c r="C934" s="3"/>
      <c r="D934" s="3"/>
      <c r="E934" s="3"/>
      <c r="F934" s="3"/>
      <c r="G934" s="3"/>
      <c r="H934" s="3"/>
      <c r="I934" s="3"/>
      <c r="J934" s="3"/>
      <c r="K934" s="3"/>
    </row>
    <row r="935" spans="1:11" hidden="1" x14ac:dyDescent="0.2">
      <c r="A935" s="3"/>
      <c r="B935" s="3"/>
      <c r="C935" s="3"/>
      <c r="D935" s="3"/>
      <c r="E935" s="3"/>
      <c r="F935" s="3"/>
      <c r="G935" s="3"/>
      <c r="H935" s="3"/>
      <c r="I935" s="3"/>
      <c r="J935" s="3"/>
      <c r="K935" s="3"/>
    </row>
    <row r="936" spans="1:11" hidden="1" x14ac:dyDescent="0.2">
      <c r="A936" s="3"/>
      <c r="B936" s="3"/>
      <c r="C936" s="3"/>
      <c r="D936" s="3"/>
      <c r="E936" s="3"/>
      <c r="F936" s="3"/>
      <c r="G936" s="3"/>
      <c r="H936" s="3"/>
      <c r="I936" s="3"/>
      <c r="J936" s="3"/>
      <c r="K936" s="3"/>
    </row>
    <row r="937" spans="1:11" hidden="1" x14ac:dyDescent="0.2">
      <c r="A937" s="3"/>
      <c r="B937" s="3"/>
      <c r="C937" s="3"/>
      <c r="D937" s="3"/>
      <c r="E937" s="3"/>
      <c r="F937" s="3"/>
      <c r="G937" s="3"/>
      <c r="H937" s="3"/>
      <c r="I937" s="3"/>
      <c r="J937" s="3"/>
      <c r="K937" s="3"/>
    </row>
    <row r="938" spans="1:11" hidden="1" x14ac:dyDescent="0.2">
      <c r="A938" s="3"/>
      <c r="B938" s="3"/>
      <c r="C938" s="3"/>
      <c r="D938" s="3"/>
      <c r="E938" s="3"/>
      <c r="F938" s="3"/>
      <c r="G938" s="3"/>
      <c r="H938" s="3"/>
      <c r="I938" s="3"/>
      <c r="J938" s="3"/>
      <c r="K938" s="3"/>
    </row>
    <row r="939" spans="1:11" hidden="1" x14ac:dyDescent="0.2">
      <c r="A939" s="3"/>
      <c r="B939" s="3"/>
      <c r="C939" s="3"/>
      <c r="D939" s="3"/>
      <c r="E939" s="3"/>
      <c r="F939" s="3"/>
      <c r="G939" s="3"/>
      <c r="H939" s="3"/>
      <c r="I939" s="3"/>
      <c r="J939" s="3"/>
      <c r="K939" s="3"/>
    </row>
    <row r="940" spans="1:11" hidden="1" x14ac:dyDescent="0.2">
      <c r="A940" s="3"/>
      <c r="B940" s="3"/>
      <c r="C940" s="3"/>
      <c r="D940" s="3"/>
      <c r="E940" s="3"/>
      <c r="F940" s="3"/>
      <c r="G940" s="3"/>
      <c r="H940" s="3"/>
      <c r="I940" s="3"/>
      <c r="J940" s="3"/>
      <c r="K940" s="3"/>
    </row>
    <row r="941" spans="1:11" hidden="1" x14ac:dyDescent="0.2">
      <c r="A941" s="3"/>
      <c r="B941" s="3"/>
      <c r="C941" s="3"/>
      <c r="D941" s="3"/>
      <c r="E941" s="3"/>
      <c r="F941" s="3"/>
      <c r="G941" s="3"/>
      <c r="H941" s="3"/>
      <c r="I941" s="3"/>
      <c r="J941" s="3"/>
      <c r="K941" s="3"/>
    </row>
    <row r="942" spans="1:11" hidden="1" x14ac:dyDescent="0.2">
      <c r="A942" s="3"/>
      <c r="B942" s="3"/>
      <c r="C942" s="3"/>
      <c r="D942" s="3"/>
      <c r="E942" s="3"/>
      <c r="F942" s="3"/>
      <c r="G942" s="3"/>
      <c r="H942" s="3"/>
      <c r="I942" s="3"/>
      <c r="J942" s="3"/>
      <c r="K942" s="3"/>
    </row>
    <row r="943" spans="1:11" hidden="1" x14ac:dyDescent="0.2">
      <c r="A943" s="3"/>
      <c r="B943" s="3"/>
      <c r="C943" s="3"/>
      <c r="D943" s="3"/>
      <c r="E943" s="3"/>
      <c r="F943" s="3"/>
      <c r="G943" s="3"/>
      <c r="H943" s="3"/>
      <c r="I943" s="3"/>
      <c r="J943" s="3"/>
      <c r="K943" s="3"/>
    </row>
    <row r="944" spans="1:11" hidden="1" x14ac:dyDescent="0.2">
      <c r="A944" s="3"/>
      <c r="B944" s="3"/>
      <c r="C944" s="3"/>
      <c r="D944" s="3"/>
      <c r="E944" s="3"/>
      <c r="F944" s="3"/>
      <c r="G944" s="3"/>
      <c r="H944" s="3"/>
      <c r="I944" s="3"/>
      <c r="J944" s="3"/>
      <c r="K944" s="3"/>
    </row>
    <row r="945" spans="1:11" hidden="1" x14ac:dyDescent="0.2">
      <c r="A945" s="3"/>
      <c r="B945" s="3"/>
      <c r="C945" s="3"/>
      <c r="D945" s="3"/>
      <c r="E945" s="3"/>
      <c r="F945" s="3"/>
      <c r="G945" s="3"/>
      <c r="H945" s="3"/>
      <c r="I945" s="3"/>
      <c r="J945" s="3"/>
      <c r="K945" s="3"/>
    </row>
    <row r="946" spans="1:11" hidden="1" x14ac:dyDescent="0.2">
      <c r="A946" s="3"/>
      <c r="B946" s="3"/>
      <c r="C946" s="3"/>
      <c r="D946" s="3"/>
      <c r="E946" s="3"/>
      <c r="F946" s="3"/>
      <c r="G946" s="3"/>
      <c r="H946" s="3"/>
      <c r="I946" s="3"/>
      <c r="J946" s="3"/>
      <c r="K946" s="3"/>
    </row>
    <row r="947" spans="1:11" hidden="1" x14ac:dyDescent="0.2">
      <c r="A947" s="3"/>
      <c r="B947" s="3"/>
      <c r="C947" s="3"/>
      <c r="D947" s="3"/>
      <c r="E947" s="3"/>
      <c r="F947" s="3"/>
      <c r="G947" s="3"/>
      <c r="H947" s="3"/>
      <c r="I947" s="3"/>
      <c r="J947" s="3"/>
      <c r="K947" s="3"/>
    </row>
    <row r="948" spans="1:11" hidden="1" x14ac:dyDescent="0.2">
      <c r="A948" s="3"/>
      <c r="B948" s="3"/>
      <c r="C948" s="3"/>
      <c r="D948" s="3"/>
      <c r="E948" s="3"/>
      <c r="F948" s="3"/>
      <c r="G948" s="3"/>
      <c r="H948" s="3"/>
      <c r="I948" s="3"/>
      <c r="J948" s="3"/>
      <c r="K948" s="3"/>
    </row>
    <row r="949" spans="1:11" hidden="1" x14ac:dyDescent="0.2">
      <c r="A949" s="3"/>
      <c r="B949" s="3"/>
      <c r="C949" s="3"/>
      <c r="D949" s="3"/>
      <c r="E949" s="3"/>
      <c r="F949" s="3"/>
      <c r="G949" s="3"/>
      <c r="H949" s="3"/>
      <c r="I949" s="3"/>
      <c r="J949" s="3"/>
      <c r="K949" s="3"/>
    </row>
    <row r="950" spans="1:11" hidden="1" x14ac:dyDescent="0.2">
      <c r="A950" s="3"/>
      <c r="B950" s="3"/>
      <c r="C950" s="3"/>
      <c r="D950" s="3"/>
      <c r="E950" s="3"/>
      <c r="F950" s="3"/>
      <c r="G950" s="3"/>
      <c r="H950" s="3"/>
      <c r="I950" s="3"/>
      <c r="J950" s="3"/>
      <c r="K950" s="3"/>
    </row>
    <row r="951" spans="1:11" hidden="1" x14ac:dyDescent="0.2">
      <c r="A951" s="3"/>
      <c r="B951" s="3"/>
      <c r="C951" s="3"/>
      <c r="D951" s="3"/>
      <c r="E951" s="3"/>
      <c r="F951" s="3"/>
      <c r="G951" s="3"/>
      <c r="H951" s="3"/>
      <c r="I951" s="3"/>
      <c r="J951" s="3"/>
      <c r="K951" s="3"/>
    </row>
    <row r="952" spans="1:11" hidden="1" x14ac:dyDescent="0.2">
      <c r="A952" s="3"/>
      <c r="B952" s="3"/>
      <c r="C952" s="3"/>
      <c r="D952" s="3"/>
      <c r="E952" s="3"/>
      <c r="F952" s="3"/>
      <c r="G952" s="3"/>
      <c r="H952" s="3"/>
      <c r="I952" s="3"/>
      <c r="J952" s="3"/>
      <c r="K952" s="3"/>
    </row>
    <row r="953" spans="1:11" hidden="1" x14ac:dyDescent="0.2">
      <c r="A953" s="3"/>
      <c r="B953" s="3"/>
      <c r="C953" s="3"/>
      <c r="D953" s="3"/>
      <c r="E953" s="3"/>
      <c r="F953" s="3"/>
      <c r="G953" s="3"/>
      <c r="H953" s="3"/>
      <c r="I953" s="3"/>
      <c r="J953" s="3"/>
      <c r="K953" s="3"/>
    </row>
    <row r="954" spans="1:11" hidden="1" x14ac:dyDescent="0.2">
      <c r="A954" s="3"/>
      <c r="B954" s="3"/>
      <c r="C954" s="3"/>
      <c r="D954" s="3"/>
      <c r="E954" s="3"/>
      <c r="F954" s="3"/>
      <c r="G954" s="3"/>
      <c r="H954" s="3"/>
      <c r="I954" s="3"/>
      <c r="J954" s="3"/>
      <c r="K954" s="3"/>
    </row>
    <row r="955" spans="1:11" hidden="1" x14ac:dyDescent="0.2">
      <c r="A955" s="3"/>
      <c r="B955" s="3"/>
      <c r="C955" s="3"/>
      <c r="D955" s="3"/>
      <c r="E955" s="3"/>
      <c r="F955" s="3"/>
      <c r="G955" s="3"/>
      <c r="H955" s="3"/>
      <c r="I955" s="3"/>
      <c r="J955" s="3"/>
      <c r="K955" s="3"/>
    </row>
    <row r="956" spans="1:11" hidden="1" x14ac:dyDescent="0.2">
      <c r="A956" s="3"/>
      <c r="B956" s="3"/>
      <c r="C956" s="3"/>
      <c r="D956" s="3"/>
      <c r="E956" s="3"/>
      <c r="F956" s="3"/>
      <c r="G956" s="3"/>
      <c r="H956" s="3"/>
      <c r="I956" s="3"/>
      <c r="J956" s="3"/>
      <c r="K956" s="3"/>
    </row>
    <row r="957" spans="1:11" hidden="1" x14ac:dyDescent="0.2">
      <c r="A957" s="3"/>
      <c r="B957" s="3"/>
      <c r="C957" s="3"/>
      <c r="D957" s="3"/>
      <c r="E957" s="3"/>
      <c r="F957" s="3"/>
      <c r="G957" s="3"/>
      <c r="H957" s="3"/>
      <c r="I957" s="3"/>
      <c r="J957" s="3"/>
      <c r="K957" s="3"/>
    </row>
    <row r="958" spans="1:11" hidden="1" x14ac:dyDescent="0.2">
      <c r="A958" s="3"/>
      <c r="B958" s="3"/>
      <c r="C958" s="3"/>
      <c r="D958" s="3"/>
      <c r="E958" s="3"/>
      <c r="F958" s="3"/>
      <c r="G958" s="3"/>
      <c r="H958" s="3"/>
      <c r="I958" s="3"/>
      <c r="J958" s="3"/>
      <c r="K958" s="3"/>
    </row>
    <row r="959" spans="1:11" hidden="1" x14ac:dyDescent="0.2">
      <c r="A959" s="3"/>
      <c r="B959" s="3"/>
      <c r="C959" s="3"/>
      <c r="D959" s="3"/>
      <c r="E959" s="3"/>
      <c r="F959" s="3"/>
      <c r="G959" s="3"/>
      <c r="H959" s="3"/>
      <c r="I959" s="3"/>
      <c r="J959" s="3"/>
      <c r="K959" s="3"/>
    </row>
    <row r="960" spans="1:11" hidden="1" x14ac:dyDescent="0.2">
      <c r="A960" s="3"/>
      <c r="B960" s="3"/>
      <c r="C960" s="3"/>
      <c r="D960" s="3"/>
      <c r="E960" s="3"/>
      <c r="F960" s="3"/>
      <c r="G960" s="3"/>
      <c r="H960" s="3"/>
      <c r="I960" s="3"/>
      <c r="J960" s="3"/>
      <c r="K960" s="3"/>
    </row>
    <row r="961" spans="1:11" hidden="1" x14ac:dyDescent="0.2">
      <c r="A961" s="3"/>
      <c r="B961" s="3"/>
      <c r="C961" s="3"/>
      <c r="D961" s="3"/>
      <c r="E961" s="3"/>
      <c r="F961" s="3"/>
      <c r="G961" s="3"/>
      <c r="H961" s="3"/>
      <c r="I961" s="3"/>
      <c r="J961" s="3"/>
      <c r="K961" s="3"/>
    </row>
    <row r="962" spans="1:11" hidden="1" x14ac:dyDescent="0.2">
      <c r="A962" s="3"/>
      <c r="B962" s="3"/>
      <c r="C962" s="3"/>
      <c r="D962" s="3"/>
      <c r="E962" s="3"/>
      <c r="F962" s="3"/>
      <c r="G962" s="3"/>
      <c r="H962" s="3"/>
      <c r="I962" s="3"/>
      <c r="J962" s="3"/>
      <c r="K962" s="3"/>
    </row>
    <row r="963" spans="1:11" x14ac:dyDescent="0.2"/>
  </sheetData>
  <sheetProtection algorithmName="SHA-512" hashValue="vjf6BY6JPOZ585KDD5ZJWYVhNF6tbA/dWe6CeP6hH2B3mvhidD5kHkzcsDPCtCVeFYboqyXY6Kob/KsQXBaOxQ==" saltValue="dBx4U2E7JvcvAeddHFhHu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4" ma:contentTypeDescription="Create a new document." ma:contentTypeScope="" ma:versionID="374bacd72e5c45aae25e10926e85a2e0">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18a1620b1ab938580dc908f4006cf221"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7CA352-70DF-4A8C-BE16-1BA25A2D45EE}">
  <ds:schemaRefs>
    <ds:schemaRef ds:uri="http://schemas.microsoft.com/sharepoint/v3/contenttype/forms"/>
  </ds:schemaRefs>
</ds:datastoreItem>
</file>

<file path=customXml/itemProps2.xml><?xml version="1.0" encoding="utf-8"?>
<ds:datastoreItem xmlns:ds="http://schemas.openxmlformats.org/officeDocument/2006/customXml" ds:itemID="{3E448F0C-8568-40B6-BE29-54659AE1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Marc Diaz</cp:lastModifiedBy>
  <dcterms:created xsi:type="dcterms:W3CDTF">2024-11-11T16:57:18Z</dcterms:created>
  <dcterms:modified xsi:type="dcterms:W3CDTF">2026-10-31T16:42:57Z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